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ave\Dropbox (Trefor)\Elforsk - Landsbyvarme med varmepumper og ATES\Afrapportering\"/>
    </mc:Choice>
  </mc:AlternateContent>
  <xr:revisionPtr revIDLastSave="0" documentId="13_ncr:1_{206FA5CB-C8CE-4A8A-A62C-A71E6613E90E}" xr6:coauthVersionLast="43" xr6:coauthVersionMax="43" xr10:uidLastSave="{00000000-0000-0000-0000-000000000000}"/>
  <workbookProtection workbookAlgorithmName="SHA-512" workbookHashValue="orMzbdNqvo8+ubmusJ/1UK5YHxlccnDNnu704ln+lOMUAb4X5P9CqRyFFWitn3gDFLK1oZpsbuUpaMB1usl8ag==" workbookSaltValue="0kfA8JtdKSIe+GXgGSq+Cw==" workbookSpinCount="100000" lockStructure="1"/>
  <bookViews>
    <workbookView xWindow="-120" yWindow="-120" windowWidth="29040" windowHeight="15840" tabRatio="688" xr2:uid="{35CC0052-ED13-4E6E-BDDB-0E08D1ECFDCE}"/>
  </bookViews>
  <sheets>
    <sheet name="Retningslinjer" sheetId="7" r:id="rId1"/>
    <sheet name="Fællesindtastning" sheetId="1" r:id="rId2"/>
    <sheet name="Privatøkonomi" sheetId="2" r:id="rId3"/>
    <sheet name="Samfundsøkonomi" sheetId="5" r:id="rId4"/>
    <sheet name="Selskabsøkonomi" sheetId="4" r:id="rId5"/>
    <sheet name="Følsomhedsanalyse" sheetId="6" r:id="rId6"/>
  </sheets>
  <externalReferences>
    <externalReference r:id="rId7"/>
    <externalReference r:id="rId8"/>
    <externalReference r:id="rId9"/>
    <externalReference r:id="rId10"/>
    <externalReference r:id="rId11"/>
    <externalReference r:id="rId12"/>
  </externalReferences>
  <definedNames>
    <definedName name="Art">[1]!Tabel1[Art]</definedName>
    <definedName name="Bi_Pnkt.">[2]RC!$AH$6</definedName>
    <definedName name="Budgetmodel">[3]Projektbudget!$D$4</definedName>
    <definedName name="Cost_Month01">[1]!Tabel1[Jan]</definedName>
    <definedName name="Cost_Month02">[1]!Tabel1[Feb]</definedName>
    <definedName name="Cost_Month03">[1]!Tabel1[Mar]</definedName>
    <definedName name="Cost_Month04">[1]!Tabel1[Apr]</definedName>
    <definedName name="Cost_Month05">[1]!Tabel1[May]</definedName>
    <definedName name="Cost_Month06">[1]!Tabel1[Jun]</definedName>
    <definedName name="Cost_Month07">[1]!Tabel1[Jul]</definedName>
    <definedName name="Cost_Month08">[1]!Tabel1[Aug]</definedName>
    <definedName name="Cost_Month09">[1]!Tabel1[Sep]</definedName>
    <definedName name="Cost_Month10">[1]!Tabel1[Oct]</definedName>
    <definedName name="Cost_Month11">[1]!Tabel1[Nov]</definedName>
    <definedName name="Cost_Month12">[1]!Tabel1[Dec]</definedName>
    <definedName name="Densitet">[2]RC!$AD$5</definedName>
    <definedName name="Densitet_loft">[2]RC!$AD$6</definedName>
    <definedName name="Densitet_luft">[2]RC!$AD$7</definedName>
    <definedName name="DUT">[2]RC!$AH$5</definedName>
    <definedName name="EOM">'[1]Projektbudget - ej indlæst'!$D$3</definedName>
    <definedName name="ff" localSheetId="3">#REF!</definedName>
    <definedName name="ff">#REF!</definedName>
    <definedName name="Fin_Aktiv" localSheetId="3">#REF!</definedName>
    <definedName name="Fin_Aktiv">#REF!</definedName>
    <definedName name="Fin_Budgetmodel" localSheetId="3">#REF!</definedName>
    <definedName name="Fin_Budgetmodel">#REF!</definedName>
    <definedName name="Fin_CP" localSheetId="3">#REF!</definedName>
    <definedName name="Fin_CP">#REF!</definedName>
    <definedName name="Fin_Department" localSheetId="3">#REF!</definedName>
    <definedName name="Fin_Department">#REF!</definedName>
    <definedName name="Fin_Formål" localSheetId="3">#REF!</definedName>
    <definedName name="Fin_Formål">#REF!</definedName>
    <definedName name="Fin_Kommentar" localSheetId="3">#REF!</definedName>
    <definedName name="Fin_Kommentar">#REF!</definedName>
    <definedName name="Fin_Koncern" localSheetId="3">#REF!</definedName>
    <definedName name="Fin_Koncern">#REF!</definedName>
    <definedName name="Fin_Month01" localSheetId="3">#REF!</definedName>
    <definedName name="Fin_Month01">#REF!</definedName>
    <definedName name="Fin_Month02" localSheetId="3">#REF!</definedName>
    <definedName name="Fin_Month02">#REF!</definedName>
    <definedName name="Fin_Month03" localSheetId="3">#REF!</definedName>
    <definedName name="Fin_Month03">#REF!</definedName>
    <definedName name="Fin_Month04" localSheetId="3">#REF!</definedName>
    <definedName name="Fin_Month04">#REF!</definedName>
    <definedName name="Fin_Month05" localSheetId="3">#REF!</definedName>
    <definedName name="Fin_Month05">#REF!</definedName>
    <definedName name="Fin_Month06" localSheetId="3">#REF!</definedName>
    <definedName name="Fin_Month06">#REF!</definedName>
    <definedName name="Fin_Month07" localSheetId="3">#REF!</definedName>
    <definedName name="Fin_Month07">#REF!</definedName>
    <definedName name="Fin_Month08" localSheetId="3">#REF!</definedName>
    <definedName name="Fin_Month08">#REF!</definedName>
    <definedName name="Fin_Month09" localSheetId="3">#REF!</definedName>
    <definedName name="Fin_Month09">#REF!</definedName>
    <definedName name="Fin_Month10" localSheetId="3">#REF!</definedName>
    <definedName name="Fin_Month10">#REF!</definedName>
    <definedName name="Fin_Month11" localSheetId="3">#REF!</definedName>
    <definedName name="Fin_Month11">#REF!</definedName>
    <definedName name="Fin_Month12" localSheetId="3">#REF!</definedName>
    <definedName name="Fin_Month12">#REF!</definedName>
    <definedName name="Fin_Month13" localSheetId="3">#REF!</definedName>
    <definedName name="Fin_Month13">#REF!</definedName>
    <definedName name="Fin_Projekt_Dim" localSheetId="3">#REF!</definedName>
    <definedName name="Fin_Projekt_Dim">#REF!</definedName>
    <definedName name="Fin_Rapportering" localSheetId="3">#REF!</definedName>
    <definedName name="Fin_Rapportering">#REF!</definedName>
    <definedName name="Fin_Startdato" localSheetId="3">#REF!</definedName>
    <definedName name="Fin_Startdato">#REF!</definedName>
    <definedName name="Finanskonto" localSheetId="3">#REF!</definedName>
    <definedName name="Finanskonto">#REF!</definedName>
    <definedName name="fremskrivning">[4]Udtræksdata!$AC$5:$AC$14</definedName>
    <definedName name="GUF">[2]RC!$D$12</definedName>
    <definedName name="Headerinfo">"TextBox 14"</definedName>
    <definedName name="hhf" localSheetId="3">#REF!</definedName>
    <definedName name="hhf">#REF!</definedName>
    <definedName name="jhg" localSheetId="3">#REF!</definedName>
    <definedName name="jhg">#REF!</definedName>
    <definedName name="jhgfjh" localSheetId="3">#REF!</definedName>
    <definedName name="jhgfjh">#REF!</definedName>
    <definedName name="Kunde" comment="Header i udprint">[5]Indtastningsark!$AE$4</definedName>
    <definedName name="l" localSheetId="3">#REF!</definedName>
    <definedName name="l">#REF!</definedName>
    <definedName name="Linjeegenskab">[1]!Tabel1[Linjeegenskab]</definedName>
    <definedName name="Loft_tykkelse">[2]RC!$X$8</definedName>
    <definedName name="Lofthøjde">[2]RC!$X$5</definedName>
    <definedName name="PP_Advokatens_adresse_by">[6]Stamdata!$B$106</definedName>
    <definedName name="PP_Advokatens_adresse_postnummer">[6]Stamdata!$B$105</definedName>
    <definedName name="PP_Advokatens_adresse_vejnavn">[6]Stamdata!$B$102</definedName>
    <definedName name="PP_Advokatens_adresse_vejnr_og_etage">[6]Stamdata!$B$103</definedName>
    <definedName name="PP_Bankens_adresse_by">[6]Stamdata!$B$93</definedName>
    <definedName name="PP_Bankens_adresse_postnummer">[6]Stamdata!$B$92</definedName>
    <definedName name="PP_Bankens_adresse_vejnavn">[6]Stamdata!$B$89</definedName>
    <definedName name="PP_Bankens_adresse_vejnr_og_etage">[6]Stamdata!$B$90</definedName>
    <definedName name="PP_Generalforsamlingsdato">[6]Stamdata!$B$18</definedName>
    <definedName name="PP_Gennemgangstype">[6]Stamdata!$B$8</definedName>
    <definedName name="PP_Regnskabsaflæggende_virksomheds_adresse_by">[6]Stamdata!$B$122</definedName>
    <definedName name="PP_Regnskabsaflæggende_virksomheds_adresse_postnummer">[6]Stamdata!$B$121</definedName>
    <definedName name="PP_Regnskabsaflæggende_virksomheds_adresse_vejnavn">[6]Stamdata!$B$118</definedName>
    <definedName name="PP_Regnskabsaflæggende_virksomheds_adresse_vejnr_og_etage">[6]Stamdata!$B$119</definedName>
    <definedName name="PP_Regnskabsaflæggende_virksomheds_regnskabsklasse">[6]Stamdata!$B$112</definedName>
    <definedName name="PP_Regnskabsperiodens_startdato">[6]Stamdata!$B$13</definedName>
    <definedName name="PP_Revisionsvirksomhedens_adresse_by">[6]Stamdata!$B$40</definedName>
    <definedName name="PP_Revisionsvirksomhedens_adresse_by_2">[6]Stamdata!$B$58</definedName>
    <definedName name="PP_Revisionsvirksomhedens_adresse_land">[6]Stamdata!$B$42</definedName>
    <definedName name="PP_Revisionsvirksomhedens_adresse_landekode">[6]Stamdata!$B$43</definedName>
    <definedName name="PP_Revisionsvirksomhedens_adresse_postnummer">[6]Stamdata!$B$39</definedName>
    <definedName name="PP_Revisionsvirksomhedens_adresse_postnummer_2">[6]Stamdata!$B$57</definedName>
    <definedName name="PP_Revisionsvirksomhedens_adresse_vejnavn">[6]Stamdata!$B$36</definedName>
    <definedName name="PP_Revisionsvirksomhedens_adresse_vejnavn_2">[6]Stamdata!$B$54</definedName>
    <definedName name="PP_Revisionsvirksomhedens_adresse_vejnr_og_etage">[6]Stamdata!$B$37</definedName>
    <definedName name="PP_Revisionsvirksomhedens_adresse_vejnr_og_etage_2">[6]Stamdata!$B$55</definedName>
    <definedName name="PP_Revisionsvirksomhedens_CVR_nr">[6]Stamdata!$B$33</definedName>
    <definedName name="PP_Revisionsvirksomhedens_e_mail">[6]Stamdata!$B$45</definedName>
    <definedName name="PP_Revisionsvirksomhedens_navn">[6]Stamdata!$B$35</definedName>
    <definedName name="PP_Revisionsvirksomhedens_P_nr">[6]Stamdata!$B$34</definedName>
    <definedName name="PP_Revisionsvirksomhedens_telefonnummer">[6]Stamdata!$B$44</definedName>
    <definedName name="PP_Revisors_navn_2">[6]Stamdata!$B$48</definedName>
    <definedName name="PP_Sidste_års_slutdato">[6]Stamdata!$B$16</definedName>
    <definedName name="PP_Sidste_års_startdato">[6]Stamdata!$B$15</definedName>
    <definedName name="PPEOM">'[1]Projektbudget - ej indlæst'!$D$4</definedName>
    <definedName name="Projekt">[1]!Tabel1[Projekt]</definedName>
    <definedName name="Projektnavn" localSheetId="3">'[1]Projektbudget - ej indlæst'!#REF!</definedName>
    <definedName name="Projektnavn">'[1]Projektbudget - ej indlæst'!#REF!</definedName>
    <definedName name="Salgsvaluta">[1]!Tabel1[Salgsvaluta]</definedName>
    <definedName name="Startdato">'[1]Projektbudget - ej indlæst'!$F$5</definedName>
    <definedName name="Tykkelse">[2]RC!$X$7</definedName>
    <definedName name="Udvidet_dynamisk_tabel">'[5]COP værdier'!$BV$8:$DU$46</definedName>
    <definedName name="Valutakurs">[1]!Tabel1[Valutakurs]</definedName>
    <definedName name="Vamekap_loft">[2]RC!$AC$6</definedName>
    <definedName name="Varmekap_luft">[2]RC!$AC$7</definedName>
    <definedName name="Varmekapacitet">[2]RC!$AC$5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 l="1"/>
  <c r="H13" i="1" l="1"/>
  <c r="H12" i="1"/>
  <c r="U30" i="1" l="1"/>
  <c r="T30" i="1"/>
  <c r="S30" i="1"/>
  <c r="Q30" i="1"/>
  <c r="R30" i="1"/>
  <c r="P30" i="1"/>
  <c r="O30" i="1"/>
  <c r="C8" i="1"/>
  <c r="C9" i="1"/>
  <c r="C10" i="1"/>
  <c r="C12" i="1"/>
  <c r="C11" i="1"/>
  <c r="C7" i="1"/>
  <c r="F7" i="1" s="1"/>
  <c r="D13" i="1"/>
  <c r="D35" i="1" s="1"/>
  <c r="D34" i="1"/>
  <c r="D84" i="1"/>
  <c r="D93" i="1" s="1"/>
  <c r="D85" i="1"/>
  <c r="D94" i="1" s="1"/>
  <c r="D86" i="1"/>
  <c r="D95" i="1" s="1"/>
  <c r="D87" i="1"/>
  <c r="D96" i="1" s="1"/>
  <c r="D88" i="1"/>
  <c r="D97" i="1" s="1"/>
  <c r="D89" i="1"/>
  <c r="D98" i="1" s="1"/>
  <c r="D101" i="1"/>
  <c r="D57" i="1" l="1"/>
  <c r="D58" i="1"/>
  <c r="D56" i="1"/>
  <c r="D90" i="1"/>
  <c r="D102" i="1"/>
  <c r="D46" i="1"/>
  <c r="D68" i="1" s="1"/>
  <c r="D43" i="1"/>
  <c r="D99" i="1"/>
  <c r="D36" i="1"/>
  <c r="D59" i="1" l="1"/>
  <c r="D62" i="1" s="1"/>
  <c r="D65" i="1"/>
  <c r="D103" i="1"/>
  <c r="D105" i="1" s="1"/>
  <c r="D37" i="1"/>
  <c r="D39" i="1"/>
  <c r="D38" i="1" l="1"/>
  <c r="D44" i="1" s="1"/>
  <c r="D45" i="1" l="1"/>
  <c r="D67" i="1" s="1"/>
  <c r="D40" i="1"/>
  <c r="J12" i="1" s="1"/>
  <c r="D66" i="1"/>
  <c r="D47" i="1" l="1"/>
  <c r="D69" i="1" s="1"/>
  <c r="F8" i="1"/>
  <c r="F9" i="1"/>
  <c r="F10" i="1"/>
  <c r="F11" i="1"/>
  <c r="F12" i="1"/>
  <c r="D18" i="5" l="1"/>
  <c r="D19" i="5"/>
  <c r="D20" i="5"/>
  <c r="D21" i="5"/>
  <c r="D9" i="5"/>
  <c r="D10" i="5"/>
  <c r="D11" i="5"/>
  <c r="D12" i="5"/>
  <c r="D13" i="5"/>
  <c r="D14" i="5"/>
  <c r="D8" i="5"/>
  <c r="A6" i="4" l="1"/>
  <c r="B5" i="6" l="1"/>
  <c r="B7" i="6"/>
  <c r="D7" i="6"/>
  <c r="E7" i="6"/>
  <c r="F7" i="6"/>
  <c r="G7" i="6"/>
  <c r="H7" i="6"/>
  <c r="C7" i="6"/>
  <c r="D5" i="6"/>
  <c r="E5" i="6"/>
  <c r="F5" i="6"/>
  <c r="G5" i="6"/>
  <c r="H5" i="6"/>
  <c r="C5" i="6"/>
  <c r="A190" i="2"/>
  <c r="A22" i="4" l="1"/>
  <c r="A21" i="4"/>
  <c r="A5" i="4"/>
  <c r="A13" i="4"/>
  <c r="A14" i="4"/>
  <c r="A15" i="4"/>
  <c r="A12" i="4"/>
  <c r="A4" i="4"/>
  <c r="D26" i="2"/>
  <c r="E26" i="2"/>
  <c r="I26" i="2"/>
  <c r="H26" i="2"/>
  <c r="F26" i="2"/>
  <c r="G26" i="2"/>
  <c r="C170" i="2"/>
  <c r="D170" i="2"/>
  <c r="E170" i="2"/>
  <c r="F170" i="2"/>
  <c r="G170" i="2"/>
  <c r="H170" i="2"/>
  <c r="I170" i="2"/>
  <c r="J170" i="2"/>
  <c r="K170" i="2"/>
  <c r="B170" i="2"/>
  <c r="C30" i="2"/>
  <c r="D30" i="2"/>
  <c r="E30" i="2"/>
  <c r="F30" i="2"/>
  <c r="G30" i="2"/>
  <c r="H30" i="2"/>
  <c r="I30" i="2"/>
  <c r="J30" i="2"/>
  <c r="K30" i="2"/>
  <c r="L30" i="2"/>
  <c r="B30" i="2"/>
  <c r="C26" i="1"/>
  <c r="C27" i="1"/>
  <c r="L14" i="2"/>
  <c r="C247" i="2" l="1"/>
  <c r="C246" i="2"/>
  <c r="C245" i="2"/>
  <c r="C244" i="2"/>
  <c r="C243" i="2"/>
  <c r="C242" i="2"/>
  <c r="C241" i="2"/>
  <c r="C240" i="2"/>
  <c r="C239" i="2"/>
  <c r="C238" i="2"/>
  <c r="C237" i="2"/>
  <c r="C236" i="2"/>
  <c r="C235" i="2"/>
  <c r="C234" i="2"/>
  <c r="C233" i="2"/>
  <c r="C232" i="2"/>
  <c r="C231" i="2"/>
  <c r="C230" i="2"/>
  <c r="C229" i="2"/>
  <c r="A195" i="2"/>
  <c r="A191" i="2"/>
  <c r="C190" i="2"/>
  <c r="B190" i="2"/>
  <c r="A188" i="2"/>
  <c r="A187" i="2"/>
  <c r="I182" i="2"/>
  <c r="H182" i="2"/>
  <c r="G182" i="2"/>
  <c r="F182" i="2"/>
  <c r="E182" i="2"/>
  <c r="D182" i="2"/>
  <c r="C182" i="2"/>
  <c r="B182" i="2"/>
  <c r="A182" i="2"/>
  <c r="A178" i="2"/>
  <c r="A177" i="2"/>
  <c r="A176" i="2"/>
  <c r="A175" i="2"/>
  <c r="A174" i="2"/>
  <c r="A173" i="2"/>
  <c r="A172" i="2"/>
  <c r="A171" i="2"/>
  <c r="K182" i="2"/>
  <c r="K121" i="2"/>
  <c r="J121" i="2"/>
  <c r="I121" i="2"/>
  <c r="H121" i="2"/>
  <c r="G121" i="2"/>
  <c r="F121" i="2"/>
  <c r="E121" i="2"/>
  <c r="D121" i="2"/>
  <c r="C121" i="2"/>
  <c r="B121" i="2"/>
  <c r="K120" i="2"/>
  <c r="J120" i="2"/>
  <c r="I120" i="2"/>
  <c r="H120" i="2"/>
  <c r="G120" i="2"/>
  <c r="F120" i="2"/>
  <c r="E120" i="2"/>
  <c r="D120" i="2"/>
  <c r="C120" i="2"/>
  <c r="B120" i="2"/>
  <c r="K119" i="2"/>
  <c r="J119" i="2"/>
  <c r="I119" i="2"/>
  <c r="H119" i="2"/>
  <c r="G119" i="2"/>
  <c r="F119" i="2"/>
  <c r="E119" i="2"/>
  <c r="D119" i="2"/>
  <c r="C119" i="2"/>
  <c r="B119" i="2"/>
  <c r="K118" i="2"/>
  <c r="J118" i="2"/>
  <c r="I118" i="2"/>
  <c r="H118" i="2"/>
  <c r="G118" i="2"/>
  <c r="F118" i="2"/>
  <c r="E118" i="2"/>
  <c r="D118" i="2"/>
  <c r="C118" i="2"/>
  <c r="B118" i="2"/>
  <c r="K117" i="2"/>
  <c r="J117" i="2"/>
  <c r="I117" i="2"/>
  <c r="H117" i="2"/>
  <c r="G117" i="2"/>
  <c r="F117" i="2"/>
  <c r="E117" i="2"/>
  <c r="D117" i="2"/>
  <c r="C117" i="2"/>
  <c r="B117" i="2"/>
  <c r="K97" i="2"/>
  <c r="J97" i="2"/>
  <c r="I97" i="2"/>
  <c r="H97" i="2"/>
  <c r="G97" i="2"/>
  <c r="F97" i="2"/>
  <c r="E97" i="2"/>
  <c r="D97" i="2"/>
  <c r="C97" i="2"/>
  <c r="B97" i="2"/>
  <c r="K96" i="2"/>
  <c r="J96" i="2"/>
  <c r="I96" i="2"/>
  <c r="H96" i="2"/>
  <c r="G96" i="2"/>
  <c r="F96" i="2"/>
  <c r="E96" i="2"/>
  <c r="D96" i="2"/>
  <c r="C96" i="2"/>
  <c r="B96" i="2"/>
  <c r="K95" i="2"/>
  <c r="J95" i="2"/>
  <c r="I95" i="2"/>
  <c r="H95" i="2"/>
  <c r="G95" i="2"/>
  <c r="F95" i="2"/>
  <c r="E95" i="2"/>
  <c r="D95" i="2"/>
  <c r="C95" i="2"/>
  <c r="B95" i="2"/>
  <c r="K94" i="2"/>
  <c r="J94" i="2"/>
  <c r="I94" i="2"/>
  <c r="H94" i="2"/>
  <c r="G94" i="2"/>
  <c r="F94" i="2"/>
  <c r="E94" i="2"/>
  <c r="D94" i="2"/>
  <c r="C94" i="2"/>
  <c r="B94" i="2"/>
  <c r="K93" i="2"/>
  <c r="J93" i="2"/>
  <c r="I93" i="2"/>
  <c r="H93" i="2"/>
  <c r="G93" i="2"/>
  <c r="F93" i="2"/>
  <c r="E93" i="2"/>
  <c r="D93" i="2"/>
  <c r="C93" i="2"/>
  <c r="B93" i="2"/>
  <c r="K74" i="2"/>
  <c r="J74" i="2"/>
  <c r="I74" i="2"/>
  <c r="H74" i="2"/>
  <c r="G74" i="2"/>
  <c r="F74" i="2"/>
  <c r="E74" i="2"/>
  <c r="D74" i="2"/>
  <c r="C74" i="2"/>
  <c r="B74" i="2"/>
  <c r="K73" i="2"/>
  <c r="J73" i="2"/>
  <c r="I73" i="2"/>
  <c r="H73" i="2"/>
  <c r="G73" i="2"/>
  <c r="F73" i="2"/>
  <c r="E73" i="2"/>
  <c r="D73" i="2"/>
  <c r="C73" i="2"/>
  <c r="B73" i="2"/>
  <c r="K72" i="2"/>
  <c r="J72" i="2"/>
  <c r="I72" i="2"/>
  <c r="H72" i="2"/>
  <c r="G72" i="2"/>
  <c r="F72" i="2"/>
  <c r="E72" i="2"/>
  <c r="D72" i="2"/>
  <c r="C72" i="2"/>
  <c r="B72" i="2"/>
  <c r="K71" i="2"/>
  <c r="J71" i="2"/>
  <c r="I71" i="2"/>
  <c r="H71" i="2"/>
  <c r="G71" i="2"/>
  <c r="F71" i="2"/>
  <c r="E71" i="2"/>
  <c r="D71" i="2"/>
  <c r="C71" i="2"/>
  <c r="B71" i="2"/>
  <c r="K70" i="2"/>
  <c r="J70" i="2"/>
  <c r="I70" i="2"/>
  <c r="H70" i="2"/>
  <c r="G70" i="2"/>
  <c r="F70" i="2"/>
  <c r="E70" i="2"/>
  <c r="D70" i="2"/>
  <c r="C70" i="2"/>
  <c r="B70" i="2"/>
  <c r="A41" i="2"/>
  <c r="A40" i="2"/>
  <c r="K37" i="2"/>
  <c r="J37" i="2"/>
  <c r="H37" i="2"/>
  <c r="H78" i="2" s="1"/>
  <c r="D37" i="2"/>
  <c r="J36" i="2"/>
  <c r="J78" i="2" s="1"/>
  <c r="J79" i="2" s="1"/>
  <c r="J80" i="2" s="1"/>
  <c r="J81" i="2" s="1"/>
  <c r="J82" i="2" s="1"/>
  <c r="J83" i="2" s="1"/>
  <c r="J84" i="2" s="1"/>
  <c r="J85" i="2" s="1"/>
  <c r="J86" i="2" s="1"/>
  <c r="J87" i="2" s="1"/>
  <c r="J88" i="2" s="1"/>
  <c r="J89" i="2" s="1"/>
  <c r="J90" i="2" s="1"/>
  <c r="J91" i="2" s="1"/>
  <c r="J92" i="2" s="1"/>
  <c r="I36" i="2"/>
  <c r="H36" i="2"/>
  <c r="G36" i="2"/>
  <c r="F36" i="2"/>
  <c r="E36" i="2"/>
  <c r="D36" i="2"/>
  <c r="C36" i="2"/>
  <c r="B36" i="2"/>
  <c r="H35" i="2"/>
  <c r="H50" i="2" s="1"/>
  <c r="E35" i="2"/>
  <c r="E50" i="2" s="1"/>
  <c r="K34" i="2"/>
  <c r="J34" i="2"/>
  <c r="I34" i="2"/>
  <c r="H34" i="2"/>
  <c r="G34" i="2"/>
  <c r="F34" i="2"/>
  <c r="E34" i="2"/>
  <c r="D34" i="2"/>
  <c r="C34" i="2"/>
  <c r="B34" i="2"/>
  <c r="J33" i="2"/>
  <c r="B33" i="2"/>
  <c r="D33" i="2" s="1"/>
  <c r="J32" i="2"/>
  <c r="J35" i="2" s="1"/>
  <c r="J50" i="2" s="1"/>
  <c r="I32" i="2"/>
  <c r="I35" i="2" s="1"/>
  <c r="I50" i="2" s="1"/>
  <c r="H32" i="2"/>
  <c r="G32" i="2"/>
  <c r="G35" i="2" s="1"/>
  <c r="G50" i="2" s="1"/>
  <c r="F32" i="2"/>
  <c r="F35" i="2" s="1"/>
  <c r="F50" i="2" s="1"/>
  <c r="E32" i="2"/>
  <c r="D32" i="2"/>
  <c r="D35" i="2" s="1"/>
  <c r="C32" i="2"/>
  <c r="C35" i="2" s="1"/>
  <c r="B32" i="2"/>
  <c r="B35" i="2" s="1"/>
  <c r="D28" i="2"/>
  <c r="B28" i="2"/>
  <c r="K27" i="2"/>
  <c r="K32" i="2" s="1"/>
  <c r="K35" i="2" s="1"/>
  <c r="I37" i="2"/>
  <c r="G37" i="2"/>
  <c r="F37" i="2"/>
  <c r="C26" i="2"/>
  <c r="C37" i="2" s="1"/>
  <c r="B26" i="2"/>
  <c r="B37" i="2" s="1"/>
  <c r="J24" i="2"/>
  <c r="J28" i="2" s="1"/>
  <c r="I24" i="2"/>
  <c r="I28" i="2" s="1"/>
  <c r="D24" i="2"/>
  <c r="H18" i="2"/>
  <c r="I33" i="2" s="1"/>
  <c r="H17" i="2"/>
  <c r="C24" i="2" s="1"/>
  <c r="C28" i="2" s="1"/>
  <c r="H16" i="2"/>
  <c r="B24" i="2" s="1"/>
  <c r="A15" i="2"/>
  <c r="L13" i="2"/>
  <c r="K13" i="2"/>
  <c r="L12" i="2"/>
  <c r="J23" i="2" s="1"/>
  <c r="J31" i="2" s="1"/>
  <c r="J186" i="2" s="1"/>
  <c r="K12" i="2"/>
  <c r="L11" i="2"/>
  <c r="I23" i="2" s="1"/>
  <c r="I31" i="2" s="1"/>
  <c r="K11" i="2"/>
  <c r="L10" i="2"/>
  <c r="H23" i="2" s="1"/>
  <c r="H31" i="2" s="1"/>
  <c r="H186" i="2" s="1"/>
  <c r="K10" i="2"/>
  <c r="L9" i="2"/>
  <c r="G23" i="2" s="1"/>
  <c r="G31" i="2" s="1"/>
  <c r="K9" i="2"/>
  <c r="L8" i="2"/>
  <c r="F23" i="2" s="1"/>
  <c r="F31" i="2" s="1"/>
  <c r="K8" i="2"/>
  <c r="L7" i="2"/>
  <c r="E23" i="2" s="1"/>
  <c r="E31" i="2" s="1"/>
  <c r="K7" i="2"/>
  <c r="L6" i="2"/>
  <c r="D23" i="2" s="1"/>
  <c r="D31" i="2" s="1"/>
  <c r="K6" i="2"/>
  <c r="K5" i="2"/>
  <c r="H5" i="2"/>
  <c r="H19" i="2" s="1"/>
  <c r="H12" i="2" s="1"/>
  <c r="K4" i="2"/>
  <c r="C87" i="1"/>
  <c r="C96" i="1" s="1"/>
  <c r="C76" i="1"/>
  <c r="C75" i="1"/>
  <c r="J32" i="1"/>
  <c r="C34" i="1"/>
  <c r="M31" i="1"/>
  <c r="L31" i="1"/>
  <c r="E33" i="1"/>
  <c r="C33" i="1"/>
  <c r="M30" i="1"/>
  <c r="L30" i="1"/>
  <c r="C32" i="1"/>
  <c r="M29" i="1"/>
  <c r="L29" i="1"/>
  <c r="C31" i="1"/>
  <c r="M28" i="1"/>
  <c r="L28" i="1"/>
  <c r="C30" i="1"/>
  <c r="M27" i="1"/>
  <c r="L27" i="1"/>
  <c r="M26" i="1"/>
  <c r="L26" i="1"/>
  <c r="C25" i="1"/>
  <c r="O23" i="1"/>
  <c r="N23" i="1"/>
  <c r="O22" i="1"/>
  <c r="N22" i="1"/>
  <c r="O21" i="1"/>
  <c r="N21" i="1"/>
  <c r="C21" i="1"/>
  <c r="O20" i="1"/>
  <c r="N20" i="1"/>
  <c r="C20" i="1"/>
  <c r="O19" i="1"/>
  <c r="N19" i="1"/>
  <c r="C19" i="1"/>
  <c r="O18" i="1"/>
  <c r="N18" i="1"/>
  <c r="C18" i="1"/>
  <c r="C17" i="1"/>
  <c r="C16" i="1"/>
  <c r="C13" i="1"/>
  <c r="H11" i="1"/>
  <c r="K10" i="1"/>
  <c r="D48" i="1" l="1"/>
  <c r="E51" i="2"/>
  <c r="J51" i="2"/>
  <c r="G51" i="2"/>
  <c r="H51" i="2"/>
  <c r="D51" i="2"/>
  <c r="F51" i="2"/>
  <c r="I51" i="2"/>
  <c r="B50" i="2"/>
  <c r="D52" i="2"/>
  <c r="C50" i="2"/>
  <c r="D39" i="2"/>
  <c r="D40" i="2" s="1"/>
  <c r="D44" i="2" s="1"/>
  <c r="D50" i="2"/>
  <c r="D109" i="1"/>
  <c r="J11" i="1" s="1"/>
  <c r="K51" i="2"/>
  <c r="K50" i="2"/>
  <c r="F13" i="1"/>
  <c r="J47" i="2"/>
  <c r="C101" i="1"/>
  <c r="C102" i="1" s="1"/>
  <c r="I8" i="1" s="1"/>
  <c r="J8" i="1"/>
  <c r="I144" i="2"/>
  <c r="I167" i="2" s="1"/>
  <c r="C46" i="1"/>
  <c r="C56" i="1"/>
  <c r="B18" i="5" s="1"/>
  <c r="J39" i="2"/>
  <c r="J40" i="2" s="1"/>
  <c r="J44" i="2" s="1"/>
  <c r="C58" i="1"/>
  <c r="B20" i="5" s="1"/>
  <c r="C57" i="1"/>
  <c r="B19" i="5" s="1"/>
  <c r="C19" i="5"/>
  <c r="C20" i="5"/>
  <c r="K23" i="2"/>
  <c r="K31" i="2" s="1"/>
  <c r="B23" i="2"/>
  <c r="B31" i="2" s="1"/>
  <c r="B41" i="2" s="1"/>
  <c r="B102" i="2" s="1"/>
  <c r="D48" i="2"/>
  <c r="C23" i="2"/>
  <c r="C31" i="2" s="1"/>
  <c r="C186" i="2" s="1"/>
  <c r="C141" i="2"/>
  <c r="C164" i="2" s="1"/>
  <c r="G143" i="2"/>
  <c r="G166" i="2" s="1"/>
  <c r="E144" i="2"/>
  <c r="E167" i="2" s="1"/>
  <c r="E140" i="2"/>
  <c r="E163" i="2" s="1"/>
  <c r="I142" i="2"/>
  <c r="I165" i="2" s="1"/>
  <c r="E52" i="2"/>
  <c r="H140" i="2"/>
  <c r="H163" i="2" s="1"/>
  <c r="F141" i="2"/>
  <c r="F164" i="2" s="1"/>
  <c r="D142" i="2"/>
  <c r="D165" i="2" s="1"/>
  <c r="B143" i="2"/>
  <c r="B166" i="2" s="1"/>
  <c r="J143" i="2"/>
  <c r="J166" i="2" s="1"/>
  <c r="H144" i="2"/>
  <c r="H167" i="2" s="1"/>
  <c r="E48" i="2"/>
  <c r="J52" i="2"/>
  <c r="I140" i="2"/>
  <c r="I163" i="2" s="1"/>
  <c r="G141" i="2"/>
  <c r="G164" i="2" s="1"/>
  <c r="E142" i="2"/>
  <c r="E165" i="2" s="1"/>
  <c r="C143" i="2"/>
  <c r="C166" i="2" s="1"/>
  <c r="E47" i="2"/>
  <c r="D140" i="2"/>
  <c r="D163" i="2" s="1"/>
  <c r="B141" i="2"/>
  <c r="B164" i="2" s="1"/>
  <c r="J141" i="2"/>
  <c r="J164" i="2" s="1"/>
  <c r="H142" i="2"/>
  <c r="H165" i="2" s="1"/>
  <c r="F143" i="2"/>
  <c r="F166" i="2" s="1"/>
  <c r="D144" i="2"/>
  <c r="D167" i="2" s="1"/>
  <c r="B142" i="2"/>
  <c r="B165" i="2" s="1"/>
  <c r="J142" i="2"/>
  <c r="J165" i="2" s="1"/>
  <c r="H143" i="2"/>
  <c r="H166" i="2" s="1"/>
  <c r="D141" i="2"/>
  <c r="D164" i="2" s="1"/>
  <c r="F140" i="2"/>
  <c r="F163" i="2" s="1"/>
  <c r="F144" i="2"/>
  <c r="F167" i="2" s="1"/>
  <c r="C89" i="1"/>
  <c r="C98" i="1" s="1"/>
  <c r="K143" i="2"/>
  <c r="K166" i="2" s="1"/>
  <c r="K141" i="2"/>
  <c r="K164" i="2" s="1"/>
  <c r="C48" i="1"/>
  <c r="C36" i="1"/>
  <c r="C39" i="1" s="1"/>
  <c r="K48" i="2"/>
  <c r="K47" i="2"/>
  <c r="M32" i="1"/>
  <c r="C43" i="1"/>
  <c r="L32" i="1"/>
  <c r="E186" i="2"/>
  <c r="E41" i="2"/>
  <c r="E102" i="2" s="1"/>
  <c r="I186" i="2"/>
  <c r="I41" i="2"/>
  <c r="I102" i="2" s="1"/>
  <c r="G186" i="2"/>
  <c r="G41" i="2"/>
  <c r="G102" i="2" s="1"/>
  <c r="H79" i="2"/>
  <c r="H80" i="2" s="1"/>
  <c r="H81" i="2" s="1"/>
  <c r="H82" i="2" s="1"/>
  <c r="H83" i="2" s="1"/>
  <c r="H84" i="2" s="1"/>
  <c r="H85" i="2" s="1"/>
  <c r="H86" i="2" s="1"/>
  <c r="H87" i="2" s="1"/>
  <c r="H88" i="2" s="1"/>
  <c r="H89" i="2" s="1"/>
  <c r="H90" i="2" s="1"/>
  <c r="H91" i="2" s="1"/>
  <c r="H92" i="2" s="1"/>
  <c r="K24" i="2"/>
  <c r="K28" i="2" s="1"/>
  <c r="F33" i="2"/>
  <c r="F39" i="2" s="1"/>
  <c r="H24" i="2"/>
  <c r="H28" i="2" s="1"/>
  <c r="G24" i="2"/>
  <c r="G28" i="2" s="1"/>
  <c r="F24" i="2"/>
  <c r="F28" i="2" s="1"/>
  <c r="K33" i="2"/>
  <c r="K39" i="2" s="1"/>
  <c r="F186" i="2"/>
  <c r="F41" i="2"/>
  <c r="F102" i="2" s="1"/>
  <c r="G48" i="2"/>
  <c r="C41" i="2"/>
  <c r="C102" i="2" s="1"/>
  <c r="D186" i="2"/>
  <c r="D41" i="2"/>
  <c r="D102" i="2" s="1"/>
  <c r="I39" i="2"/>
  <c r="B78" i="2"/>
  <c r="B39" i="2"/>
  <c r="G47" i="2"/>
  <c r="H52" i="2"/>
  <c r="C85" i="1"/>
  <c r="C94" i="1" s="1"/>
  <c r="E39" i="2"/>
  <c r="C39" i="2"/>
  <c r="I52" i="2"/>
  <c r="F78" i="2"/>
  <c r="C35" i="1"/>
  <c r="C86" i="1"/>
  <c r="C95" i="1" s="1"/>
  <c r="G78" i="2"/>
  <c r="E37" i="2"/>
  <c r="E78" i="2" s="1"/>
  <c r="J98" i="2"/>
  <c r="J184" i="2" s="1"/>
  <c r="E24" i="2"/>
  <c r="E28" i="2" s="1"/>
  <c r="I47" i="2"/>
  <c r="H47" i="2"/>
  <c r="C109" i="1"/>
  <c r="I11" i="1" s="1"/>
  <c r="G52" i="2"/>
  <c r="K52" i="2"/>
  <c r="I48" i="2"/>
  <c r="H48" i="2"/>
  <c r="I78" i="2"/>
  <c r="H41" i="2"/>
  <c r="H102" i="2" s="1"/>
  <c r="D47" i="2"/>
  <c r="F48" i="2"/>
  <c r="C84" i="1"/>
  <c r="C93" i="1" s="1"/>
  <c r="C88" i="1"/>
  <c r="C33" i="2"/>
  <c r="E33" i="2" s="1"/>
  <c r="C78" i="2"/>
  <c r="J41" i="2"/>
  <c r="J102" i="2" s="1"/>
  <c r="F47" i="2"/>
  <c r="J48" i="2"/>
  <c r="F52" i="2"/>
  <c r="D78" i="2"/>
  <c r="B140" i="2"/>
  <c r="B163" i="2" s="1"/>
  <c r="J140" i="2"/>
  <c r="J163" i="2" s="1"/>
  <c r="H141" i="2"/>
  <c r="H164" i="2" s="1"/>
  <c r="F142" i="2"/>
  <c r="F165" i="2" s="1"/>
  <c r="D143" i="2"/>
  <c r="D166" i="2" s="1"/>
  <c r="B144" i="2"/>
  <c r="B167" i="2" s="1"/>
  <c r="J144" i="2"/>
  <c r="J167" i="2" s="1"/>
  <c r="A179" i="2"/>
  <c r="J182" i="2"/>
  <c r="C140" i="2"/>
  <c r="C163" i="2" s="1"/>
  <c r="K140" i="2"/>
  <c r="K163" i="2" s="1"/>
  <c r="I141" i="2"/>
  <c r="I164" i="2" s="1"/>
  <c r="G142" i="2"/>
  <c r="G165" i="2" s="1"/>
  <c r="E143" i="2"/>
  <c r="E166" i="2" s="1"/>
  <c r="C144" i="2"/>
  <c r="C167" i="2" s="1"/>
  <c r="K144" i="2"/>
  <c r="K167" i="2" s="1"/>
  <c r="G140" i="2"/>
  <c r="G163" i="2" s="1"/>
  <c r="E141" i="2"/>
  <c r="E164" i="2" s="1"/>
  <c r="C142" i="2"/>
  <c r="C165" i="2" s="1"/>
  <c r="K142" i="2"/>
  <c r="K165" i="2" s="1"/>
  <c r="I143" i="2"/>
  <c r="I166" i="2" s="1"/>
  <c r="G144" i="2"/>
  <c r="G167" i="2" s="1"/>
  <c r="A180" i="2"/>
  <c r="D70" i="1" l="1"/>
  <c r="D49" i="1"/>
  <c r="D55" i="2"/>
  <c r="B8" i="5"/>
  <c r="C65" i="1"/>
  <c r="B13" i="5"/>
  <c r="C70" i="1"/>
  <c r="B11" i="5"/>
  <c r="C68" i="1"/>
  <c r="B4" i="4"/>
  <c r="C8" i="5"/>
  <c r="B19" i="4"/>
  <c r="AG19" i="4" s="1"/>
  <c r="C18" i="5"/>
  <c r="B14" i="4"/>
  <c r="C11" i="5"/>
  <c r="B5" i="4"/>
  <c r="C13" i="5"/>
  <c r="D22" i="4"/>
  <c r="B186" i="2"/>
  <c r="J55" i="2"/>
  <c r="J125" i="2" s="1"/>
  <c r="B43" i="2"/>
  <c r="C59" i="1"/>
  <c r="K186" i="2"/>
  <c r="K41" i="2"/>
  <c r="K102" i="2" s="1"/>
  <c r="K103" i="2" s="1"/>
  <c r="K104" i="2" s="1"/>
  <c r="K105" i="2" s="1"/>
  <c r="K106" i="2" s="1"/>
  <c r="K107" i="2" s="1"/>
  <c r="K108" i="2" s="1"/>
  <c r="K109" i="2" s="1"/>
  <c r="K110" i="2" s="1"/>
  <c r="K111" i="2" s="1"/>
  <c r="K112" i="2" s="1"/>
  <c r="K113" i="2" s="1"/>
  <c r="K114" i="2" s="1"/>
  <c r="K115" i="2" s="1"/>
  <c r="K116" i="2" s="1"/>
  <c r="J43" i="2"/>
  <c r="E43" i="2"/>
  <c r="H98" i="2"/>
  <c r="H184" i="2" s="1"/>
  <c r="C37" i="1"/>
  <c r="C38" i="1" s="1"/>
  <c r="J7" i="1"/>
  <c r="F55" i="2"/>
  <c r="F40" i="2"/>
  <c r="F44" i="2" s="1"/>
  <c r="F43" i="2"/>
  <c r="I55" i="2"/>
  <c r="I40" i="2"/>
  <c r="I44" i="2" s="1"/>
  <c r="I43" i="2"/>
  <c r="J103" i="2"/>
  <c r="J104" i="2" s="1"/>
  <c r="J105" i="2" s="1"/>
  <c r="J106" i="2" s="1"/>
  <c r="J107" i="2" s="1"/>
  <c r="J108" i="2" s="1"/>
  <c r="J109" i="2" s="1"/>
  <c r="J110" i="2" s="1"/>
  <c r="J111" i="2" s="1"/>
  <c r="J112" i="2" s="1"/>
  <c r="J113" i="2" s="1"/>
  <c r="J114" i="2" s="1"/>
  <c r="J115" i="2" s="1"/>
  <c r="J116" i="2" s="1"/>
  <c r="E55" i="2"/>
  <c r="E40" i="2"/>
  <c r="E44" i="2" s="1"/>
  <c r="K55" i="2"/>
  <c r="K40" i="2"/>
  <c r="G103" i="2"/>
  <c r="G104" i="2" s="1"/>
  <c r="G105" i="2" s="1"/>
  <c r="G106" i="2" s="1"/>
  <c r="G107" i="2" s="1"/>
  <c r="G108" i="2" s="1"/>
  <c r="G109" i="2" s="1"/>
  <c r="G110" i="2" s="1"/>
  <c r="G111" i="2" s="1"/>
  <c r="G112" i="2" s="1"/>
  <c r="G113" i="2" s="1"/>
  <c r="G114" i="2" s="1"/>
  <c r="G115" i="2" s="1"/>
  <c r="G116" i="2" s="1"/>
  <c r="E103" i="2"/>
  <c r="E104" i="2" s="1"/>
  <c r="E105" i="2" s="1"/>
  <c r="E106" i="2" s="1"/>
  <c r="E107" i="2" s="1"/>
  <c r="E108" i="2" s="1"/>
  <c r="E109" i="2" s="1"/>
  <c r="E110" i="2" s="1"/>
  <c r="E111" i="2" s="1"/>
  <c r="E112" i="2" s="1"/>
  <c r="E113" i="2" s="1"/>
  <c r="E114" i="2" s="1"/>
  <c r="E115" i="2" s="1"/>
  <c r="E116" i="2" s="1"/>
  <c r="C79" i="2"/>
  <c r="C80" i="2" s="1"/>
  <c r="C81" i="2" s="1"/>
  <c r="C82" i="2" s="1"/>
  <c r="C83" i="2" s="1"/>
  <c r="C84" i="2" s="1"/>
  <c r="C85" i="2" s="1"/>
  <c r="C86" i="2" s="1"/>
  <c r="C87" i="2" s="1"/>
  <c r="C88" i="2" s="1"/>
  <c r="C89" i="2" s="1"/>
  <c r="C90" i="2" s="1"/>
  <c r="C91" i="2" s="1"/>
  <c r="C92" i="2" s="1"/>
  <c r="K190" i="2"/>
  <c r="J190" i="2"/>
  <c r="B40" i="2"/>
  <c r="B44" i="2" s="1"/>
  <c r="B55" i="2"/>
  <c r="I190" i="2"/>
  <c r="E190" i="2"/>
  <c r="F190" i="2"/>
  <c r="D190" i="2"/>
  <c r="D103" i="2"/>
  <c r="D104" i="2" s="1"/>
  <c r="D105" i="2" s="1"/>
  <c r="D106" i="2" s="1"/>
  <c r="D107" i="2" s="1"/>
  <c r="D108" i="2" s="1"/>
  <c r="D109" i="2" s="1"/>
  <c r="D110" i="2" s="1"/>
  <c r="D111" i="2" s="1"/>
  <c r="D112" i="2" s="1"/>
  <c r="D113" i="2" s="1"/>
  <c r="D114" i="2" s="1"/>
  <c r="D115" i="2" s="1"/>
  <c r="D116" i="2" s="1"/>
  <c r="C103" i="2"/>
  <c r="C104" i="2" s="1"/>
  <c r="C105" i="2" s="1"/>
  <c r="C106" i="2" s="1"/>
  <c r="C107" i="2" s="1"/>
  <c r="C108" i="2" s="1"/>
  <c r="C109" i="2" s="1"/>
  <c r="C110" i="2" s="1"/>
  <c r="C111" i="2" s="1"/>
  <c r="C112" i="2" s="1"/>
  <c r="C113" i="2" s="1"/>
  <c r="C114" i="2" s="1"/>
  <c r="C115" i="2" s="1"/>
  <c r="C116" i="2" s="1"/>
  <c r="D79" i="2"/>
  <c r="D80" i="2" s="1"/>
  <c r="D81" i="2" s="1"/>
  <c r="D82" i="2" s="1"/>
  <c r="D83" i="2" s="1"/>
  <c r="D84" i="2" s="1"/>
  <c r="D85" i="2" s="1"/>
  <c r="D86" i="2" s="1"/>
  <c r="D87" i="2" s="1"/>
  <c r="D88" i="2" s="1"/>
  <c r="D89" i="2" s="1"/>
  <c r="D90" i="2" s="1"/>
  <c r="D91" i="2" s="1"/>
  <c r="D92" i="2" s="1"/>
  <c r="H103" i="2"/>
  <c r="H104" i="2" s="1"/>
  <c r="H105" i="2" s="1"/>
  <c r="H106" i="2" s="1"/>
  <c r="H107" i="2" s="1"/>
  <c r="H108" i="2" s="1"/>
  <c r="H109" i="2" s="1"/>
  <c r="H110" i="2" s="1"/>
  <c r="H111" i="2" s="1"/>
  <c r="H112" i="2" s="1"/>
  <c r="H113" i="2" s="1"/>
  <c r="H114" i="2" s="1"/>
  <c r="H115" i="2" s="1"/>
  <c r="H116" i="2" s="1"/>
  <c r="F79" i="2"/>
  <c r="F80" i="2" s="1"/>
  <c r="F81" i="2" s="1"/>
  <c r="F82" i="2" s="1"/>
  <c r="F83" i="2" s="1"/>
  <c r="F84" i="2" s="1"/>
  <c r="F85" i="2" s="1"/>
  <c r="F86" i="2" s="1"/>
  <c r="F87" i="2" s="1"/>
  <c r="F88" i="2" s="1"/>
  <c r="F89" i="2" s="1"/>
  <c r="F90" i="2" s="1"/>
  <c r="F91" i="2" s="1"/>
  <c r="F92" i="2" s="1"/>
  <c r="D43" i="2"/>
  <c r="B103" i="2"/>
  <c r="B104" i="2" s="1"/>
  <c r="B105" i="2" s="1"/>
  <c r="B106" i="2" s="1"/>
  <c r="B107" i="2" s="1"/>
  <c r="B108" i="2" s="1"/>
  <c r="B109" i="2" s="1"/>
  <c r="B110" i="2" s="1"/>
  <c r="B111" i="2" s="1"/>
  <c r="B112" i="2" s="1"/>
  <c r="B113" i="2" s="1"/>
  <c r="B114" i="2" s="1"/>
  <c r="B115" i="2" s="1"/>
  <c r="B116" i="2" s="1"/>
  <c r="D125" i="2"/>
  <c r="D56" i="2"/>
  <c r="I79" i="2"/>
  <c r="I80" i="2" s="1"/>
  <c r="I81" i="2" s="1"/>
  <c r="I82" i="2" s="1"/>
  <c r="I83" i="2" s="1"/>
  <c r="I84" i="2" s="1"/>
  <c r="I85" i="2" s="1"/>
  <c r="I86" i="2" s="1"/>
  <c r="I87" i="2" s="1"/>
  <c r="I88" i="2" s="1"/>
  <c r="I89" i="2" s="1"/>
  <c r="I90" i="2" s="1"/>
  <c r="I91" i="2" s="1"/>
  <c r="I92" i="2" s="1"/>
  <c r="E79" i="2"/>
  <c r="E80" i="2" s="1"/>
  <c r="E81" i="2" s="1"/>
  <c r="E82" i="2" s="1"/>
  <c r="E83" i="2" s="1"/>
  <c r="E84" i="2" s="1"/>
  <c r="E85" i="2" s="1"/>
  <c r="E86" i="2" s="1"/>
  <c r="E87" i="2" s="1"/>
  <c r="E88" i="2" s="1"/>
  <c r="E89" i="2" s="1"/>
  <c r="E90" i="2" s="1"/>
  <c r="E91" i="2" s="1"/>
  <c r="E92" i="2" s="1"/>
  <c r="C97" i="1"/>
  <c r="C99" i="1" s="1"/>
  <c r="C90" i="1"/>
  <c r="B79" i="2"/>
  <c r="B80" i="2" s="1"/>
  <c r="B81" i="2" s="1"/>
  <c r="B82" i="2" s="1"/>
  <c r="B83" i="2" s="1"/>
  <c r="B84" i="2" s="1"/>
  <c r="B85" i="2" s="1"/>
  <c r="B86" i="2" s="1"/>
  <c r="B87" i="2" s="1"/>
  <c r="B88" i="2" s="1"/>
  <c r="B89" i="2" s="1"/>
  <c r="B90" i="2" s="1"/>
  <c r="B91" i="2" s="1"/>
  <c r="B92" i="2" s="1"/>
  <c r="G33" i="2"/>
  <c r="G39" i="2" s="1"/>
  <c r="H33" i="2"/>
  <c r="H39" i="2" s="1"/>
  <c r="H190" i="2" s="1"/>
  <c r="G79" i="2"/>
  <c r="G80" i="2" s="1"/>
  <c r="G81" i="2" s="1"/>
  <c r="G82" i="2" s="1"/>
  <c r="G83" i="2" s="1"/>
  <c r="G84" i="2" s="1"/>
  <c r="G85" i="2" s="1"/>
  <c r="G86" i="2" s="1"/>
  <c r="G87" i="2" s="1"/>
  <c r="G88" i="2" s="1"/>
  <c r="G89" i="2" s="1"/>
  <c r="G90" i="2" s="1"/>
  <c r="G91" i="2" s="1"/>
  <c r="G92" i="2" s="1"/>
  <c r="C55" i="2"/>
  <c r="C43" i="2"/>
  <c r="C40" i="2"/>
  <c r="C44" i="2" s="1"/>
  <c r="F103" i="2"/>
  <c r="F104" i="2" s="1"/>
  <c r="F105" i="2" s="1"/>
  <c r="F106" i="2" s="1"/>
  <c r="F107" i="2" s="1"/>
  <c r="F108" i="2" s="1"/>
  <c r="F109" i="2" s="1"/>
  <c r="F110" i="2" s="1"/>
  <c r="F111" i="2" s="1"/>
  <c r="F112" i="2" s="1"/>
  <c r="F113" i="2" s="1"/>
  <c r="F114" i="2" s="1"/>
  <c r="F115" i="2" s="1"/>
  <c r="F116" i="2" s="1"/>
  <c r="I103" i="2"/>
  <c r="I104" i="2" s="1"/>
  <c r="I105" i="2" s="1"/>
  <c r="I106" i="2" s="1"/>
  <c r="I107" i="2" s="1"/>
  <c r="I108" i="2" s="1"/>
  <c r="I109" i="2" s="1"/>
  <c r="I110" i="2" s="1"/>
  <c r="I111" i="2" s="1"/>
  <c r="I112" i="2" s="1"/>
  <c r="I113" i="2" s="1"/>
  <c r="I114" i="2" s="1"/>
  <c r="I115" i="2" s="1"/>
  <c r="I116" i="2" s="1"/>
  <c r="C44" i="1" l="1"/>
  <c r="B9" i="5" s="1"/>
  <c r="C40" i="1"/>
  <c r="I12" i="1" s="1"/>
  <c r="D71" i="1"/>
  <c r="D52" i="1"/>
  <c r="J13" i="1" s="1"/>
  <c r="D77" i="1"/>
  <c r="D78" i="1"/>
  <c r="D80" i="1" s="1"/>
  <c r="B12" i="4"/>
  <c r="C9" i="5"/>
  <c r="C21" i="5"/>
  <c r="C62" i="1"/>
  <c r="B21" i="5"/>
  <c r="R19" i="4"/>
  <c r="E22" i="4"/>
  <c r="F22" i="4" s="1"/>
  <c r="G22" i="4" s="1"/>
  <c r="H22" i="4" s="1"/>
  <c r="I22" i="4" s="1"/>
  <c r="J22" i="4" s="1"/>
  <c r="K22" i="4" s="1"/>
  <c r="L22" i="4" s="1"/>
  <c r="M22" i="4" s="1"/>
  <c r="N22" i="4" s="1"/>
  <c r="O22" i="4" s="1"/>
  <c r="P22" i="4" s="1"/>
  <c r="Q22" i="4" s="1"/>
  <c r="R22" i="4" s="1"/>
  <c r="S22" i="4" s="1"/>
  <c r="T22" i="4" s="1"/>
  <c r="U22" i="4" s="1"/>
  <c r="V22" i="4" s="1"/>
  <c r="W22" i="4" s="1"/>
  <c r="X22" i="4" s="1"/>
  <c r="Y22" i="4" s="1"/>
  <c r="Z22" i="4" s="1"/>
  <c r="AA22" i="4" s="1"/>
  <c r="AB22" i="4" s="1"/>
  <c r="AC22" i="4" s="1"/>
  <c r="AD22" i="4" s="1"/>
  <c r="AE22" i="4" s="1"/>
  <c r="AF22" i="4" s="1"/>
  <c r="AG22" i="4" s="1"/>
  <c r="J56" i="2"/>
  <c r="J126" i="2" s="1"/>
  <c r="J149" i="2" s="1"/>
  <c r="D45" i="2"/>
  <c r="J45" i="2"/>
  <c r="C45" i="2"/>
  <c r="C45" i="1"/>
  <c r="C67" i="1" s="1"/>
  <c r="I45" i="2"/>
  <c r="F45" i="2"/>
  <c r="E45" i="2"/>
  <c r="C98" i="2"/>
  <c r="C184" i="2" s="1"/>
  <c r="E98" i="2"/>
  <c r="E184" i="2" s="1"/>
  <c r="I98" i="2"/>
  <c r="I184" i="2" s="1"/>
  <c r="C122" i="2"/>
  <c r="C185" i="2" s="1"/>
  <c r="B122" i="2"/>
  <c r="B185" i="2" s="1"/>
  <c r="G122" i="2"/>
  <c r="G185" i="2" s="1"/>
  <c r="G98" i="2"/>
  <c r="G184" i="2" s="1"/>
  <c r="F122" i="2"/>
  <c r="F185" i="2" s="1"/>
  <c r="I122" i="2"/>
  <c r="I185" i="2" s="1"/>
  <c r="D98" i="2"/>
  <c r="D184" i="2" s="1"/>
  <c r="C103" i="1"/>
  <c r="I7" i="1"/>
  <c r="B125" i="2"/>
  <c r="B56" i="2"/>
  <c r="E122" i="2"/>
  <c r="E185" i="2" s="1"/>
  <c r="E125" i="2"/>
  <c r="E56" i="2"/>
  <c r="I46" i="2"/>
  <c r="D46" i="2"/>
  <c r="C46" i="2"/>
  <c r="J46" i="2"/>
  <c r="F46" i="2"/>
  <c r="E46" i="2"/>
  <c r="H55" i="2"/>
  <c r="H40" i="2"/>
  <c r="H44" i="2" s="1"/>
  <c r="H46" i="2" s="1"/>
  <c r="H43" i="2"/>
  <c r="H45" i="2" s="1"/>
  <c r="G55" i="2"/>
  <c r="G40" i="2"/>
  <c r="G44" i="2" s="1"/>
  <c r="G46" i="2" s="1"/>
  <c r="G43" i="2"/>
  <c r="G45" i="2" s="1"/>
  <c r="F98" i="2"/>
  <c r="F184" i="2" s="1"/>
  <c r="D122" i="2"/>
  <c r="D185" i="2" s="1"/>
  <c r="J122" i="2"/>
  <c r="J185" i="2" s="1"/>
  <c r="F125" i="2"/>
  <c r="F56" i="2"/>
  <c r="C56" i="2"/>
  <c r="C125" i="2"/>
  <c r="J148" i="2"/>
  <c r="B98" i="2"/>
  <c r="B184" i="2" s="1"/>
  <c r="D126" i="2"/>
  <c r="D149" i="2" s="1"/>
  <c r="D57" i="2"/>
  <c r="H122" i="2"/>
  <c r="H185" i="2" s="1"/>
  <c r="G190" i="2"/>
  <c r="K56" i="2"/>
  <c r="D148" i="2"/>
  <c r="K122" i="2"/>
  <c r="K185" i="2" s="1"/>
  <c r="I125" i="2"/>
  <c r="I56" i="2"/>
  <c r="C66" i="1" l="1"/>
  <c r="D73" i="1"/>
  <c r="D79" i="1"/>
  <c r="C47" i="1"/>
  <c r="B10" i="5"/>
  <c r="B13" i="4"/>
  <c r="C10" i="5"/>
  <c r="C22" i="4"/>
  <c r="J57" i="2"/>
  <c r="J58" i="2" s="1"/>
  <c r="J9" i="1"/>
  <c r="E126" i="2"/>
  <c r="E149" i="2" s="1"/>
  <c r="E57" i="2"/>
  <c r="I9" i="1"/>
  <c r="C105" i="1"/>
  <c r="F126" i="2"/>
  <c r="F149" i="2" s="1"/>
  <c r="F57" i="2"/>
  <c r="E148" i="2"/>
  <c r="I57" i="2"/>
  <c r="I126" i="2"/>
  <c r="I149" i="2" s="1"/>
  <c r="K57" i="2"/>
  <c r="C126" i="2"/>
  <c r="C149" i="2" s="1"/>
  <c r="C57" i="2"/>
  <c r="I148" i="2"/>
  <c r="G125" i="2"/>
  <c r="G56" i="2"/>
  <c r="F148" i="2"/>
  <c r="H125" i="2"/>
  <c r="H56" i="2"/>
  <c r="B148" i="2"/>
  <c r="D127" i="2"/>
  <c r="D58" i="2"/>
  <c r="B126" i="2"/>
  <c r="B149" i="2" s="1"/>
  <c r="B57" i="2"/>
  <c r="C148" i="2"/>
  <c r="D72" i="1" l="1"/>
  <c r="J14" i="1"/>
  <c r="D104" i="1"/>
  <c r="D106" i="1" s="1"/>
  <c r="J127" i="2"/>
  <c r="J150" i="2" s="1"/>
  <c r="B12" i="5"/>
  <c r="C69" i="1"/>
  <c r="B15" i="4"/>
  <c r="B17" i="4" s="1"/>
  <c r="C12" i="5"/>
  <c r="C14" i="5"/>
  <c r="K58" i="2"/>
  <c r="D150" i="2"/>
  <c r="C127" i="2"/>
  <c r="C150" i="2" s="1"/>
  <c r="C58" i="2"/>
  <c r="F127" i="2"/>
  <c r="F58" i="2"/>
  <c r="I127" i="2"/>
  <c r="I58" i="2"/>
  <c r="H126" i="2"/>
  <c r="H149" i="2" s="1"/>
  <c r="H57" i="2"/>
  <c r="G126" i="2"/>
  <c r="G149" i="2" s="1"/>
  <c r="G57" i="2"/>
  <c r="J128" i="2"/>
  <c r="J151" i="2" s="1"/>
  <c r="J59" i="2"/>
  <c r="D128" i="2"/>
  <c r="D151" i="2" s="1"/>
  <c r="D59" i="2"/>
  <c r="B127" i="2"/>
  <c r="B58" i="2"/>
  <c r="H148" i="2"/>
  <c r="G148" i="2"/>
  <c r="E127" i="2"/>
  <c r="E58" i="2"/>
  <c r="F49" i="1" l="1"/>
  <c r="F43" i="1"/>
  <c r="F46" i="1"/>
  <c r="F48" i="1"/>
  <c r="F44" i="1"/>
  <c r="F45" i="1"/>
  <c r="F47" i="1"/>
  <c r="F150" i="2"/>
  <c r="D129" i="2"/>
  <c r="D152" i="2" s="1"/>
  <c r="D60" i="2"/>
  <c r="C128" i="2"/>
  <c r="C59" i="2"/>
  <c r="E59" i="2"/>
  <c r="E128" i="2"/>
  <c r="E151" i="2" s="1"/>
  <c r="E150" i="2"/>
  <c r="J129" i="2"/>
  <c r="J60" i="2"/>
  <c r="I128" i="2"/>
  <c r="I151" i="2" s="1"/>
  <c r="I59" i="2"/>
  <c r="B128" i="2"/>
  <c r="B151" i="2" s="1"/>
  <c r="B59" i="2"/>
  <c r="I150" i="2"/>
  <c r="B150" i="2"/>
  <c r="G58" i="2"/>
  <c r="G127" i="2"/>
  <c r="K59" i="2"/>
  <c r="H127" i="2"/>
  <c r="H150" i="2" s="1"/>
  <c r="H58" i="2"/>
  <c r="F128" i="2"/>
  <c r="F151" i="2" s="1"/>
  <c r="F59" i="2"/>
  <c r="D21" i="4" l="1"/>
  <c r="H128" i="2"/>
  <c r="H151" i="2" s="1"/>
  <c r="H59" i="2"/>
  <c r="G150" i="2"/>
  <c r="B129" i="2"/>
  <c r="B152" i="2" s="1"/>
  <c r="B60" i="2"/>
  <c r="D130" i="2"/>
  <c r="D153" i="2" s="1"/>
  <c r="D61" i="2"/>
  <c r="I129" i="2"/>
  <c r="I60" i="2"/>
  <c r="G128" i="2"/>
  <c r="G151" i="2" s="1"/>
  <c r="G59" i="2"/>
  <c r="K60" i="2"/>
  <c r="E129" i="2"/>
  <c r="E60" i="2"/>
  <c r="J130" i="2"/>
  <c r="J153" i="2" s="1"/>
  <c r="J61" i="2"/>
  <c r="C60" i="2"/>
  <c r="C129" i="2"/>
  <c r="C152" i="2" s="1"/>
  <c r="F129" i="2"/>
  <c r="F152" i="2" s="1"/>
  <c r="F60" i="2"/>
  <c r="J152" i="2"/>
  <c r="C151" i="2"/>
  <c r="J10" i="1" l="1"/>
  <c r="D6" i="4"/>
  <c r="E21" i="4"/>
  <c r="D24" i="4"/>
  <c r="K25" i="2"/>
  <c r="K36" i="2" s="1"/>
  <c r="C228" i="2" s="1"/>
  <c r="E130" i="2"/>
  <c r="E153" i="2" s="1"/>
  <c r="E61" i="2"/>
  <c r="E152" i="2"/>
  <c r="D131" i="2"/>
  <c r="D154" i="2" s="1"/>
  <c r="D62" i="2"/>
  <c r="I61" i="2"/>
  <c r="I130" i="2"/>
  <c r="I153" i="2" s="1"/>
  <c r="K61" i="2"/>
  <c r="I152" i="2"/>
  <c r="B130" i="2"/>
  <c r="B153" i="2" s="1"/>
  <c r="B61" i="2"/>
  <c r="H129" i="2"/>
  <c r="H152" i="2" s="1"/>
  <c r="H60" i="2"/>
  <c r="C130" i="2"/>
  <c r="C61" i="2"/>
  <c r="J131" i="2"/>
  <c r="J62" i="2"/>
  <c r="F130" i="2"/>
  <c r="F61" i="2"/>
  <c r="G129" i="2"/>
  <c r="G152" i="2" s="1"/>
  <c r="G60" i="2"/>
  <c r="E6" i="4" l="1"/>
  <c r="D26" i="4"/>
  <c r="F21" i="4"/>
  <c r="E24" i="4"/>
  <c r="C227" i="2"/>
  <c r="C224" i="2"/>
  <c r="C198" i="2"/>
  <c r="D198" i="2" s="1"/>
  <c r="C213" i="2"/>
  <c r="C212" i="2"/>
  <c r="K44" i="2"/>
  <c r="K46" i="2" s="1"/>
  <c r="C218" i="2"/>
  <c r="C225" i="2"/>
  <c r="K43" i="2"/>
  <c r="K45" i="2" s="1"/>
  <c r="C207" i="2"/>
  <c r="C200" i="2"/>
  <c r="C202" i="2"/>
  <c r="C223" i="2"/>
  <c r="C210" i="2"/>
  <c r="C216" i="2"/>
  <c r="C211" i="2"/>
  <c r="C201" i="2"/>
  <c r="C199" i="2"/>
  <c r="C215" i="2"/>
  <c r="C217" i="2"/>
  <c r="C205" i="2"/>
  <c r="C219" i="2"/>
  <c r="C209" i="2"/>
  <c r="C220" i="2"/>
  <c r="C221" i="2"/>
  <c r="C208" i="2"/>
  <c r="C203" i="2"/>
  <c r="C222" i="2"/>
  <c r="K78" i="2"/>
  <c r="C204" i="2"/>
  <c r="C214" i="2"/>
  <c r="C206" i="2"/>
  <c r="C226" i="2"/>
  <c r="C131" i="2"/>
  <c r="C154" i="2" s="1"/>
  <c r="C62" i="2"/>
  <c r="K62" i="2"/>
  <c r="C153" i="2"/>
  <c r="E131" i="2"/>
  <c r="E154" i="2" s="1"/>
  <c r="E62" i="2"/>
  <c r="G130" i="2"/>
  <c r="G61" i="2"/>
  <c r="B131" i="2"/>
  <c r="B62" i="2"/>
  <c r="I131" i="2"/>
  <c r="I62" i="2"/>
  <c r="D132" i="2"/>
  <c r="D155" i="2" s="1"/>
  <c r="D63" i="2"/>
  <c r="H130" i="2"/>
  <c r="H61" i="2"/>
  <c r="F131" i="2"/>
  <c r="F154" i="2" s="1"/>
  <c r="F62" i="2"/>
  <c r="J132" i="2"/>
  <c r="J155" i="2" s="1"/>
  <c r="J63" i="2"/>
  <c r="F153" i="2"/>
  <c r="J154" i="2"/>
  <c r="G21" i="4" l="1"/>
  <c r="F24" i="4"/>
  <c r="D27" i="4"/>
  <c r="F6" i="4"/>
  <c r="E26" i="4"/>
  <c r="K125" i="2"/>
  <c r="K148" i="2" s="1"/>
  <c r="K79" i="2"/>
  <c r="D199" i="2"/>
  <c r="D200" i="2" s="1"/>
  <c r="D201" i="2" s="1"/>
  <c r="D202" i="2" s="1"/>
  <c r="D203" i="2" s="1"/>
  <c r="D204" i="2" s="1"/>
  <c r="D205" i="2" s="1"/>
  <c r="D206" i="2" s="1"/>
  <c r="D207" i="2" s="1"/>
  <c r="D208" i="2" s="1"/>
  <c r="D209" i="2" s="1"/>
  <c r="D210" i="2" s="1"/>
  <c r="D211" i="2" s="1"/>
  <c r="D212" i="2" s="1"/>
  <c r="D213" i="2" s="1"/>
  <c r="D214" i="2" s="1"/>
  <c r="D215" i="2" s="1"/>
  <c r="D216" i="2" s="1"/>
  <c r="D217" i="2" s="1"/>
  <c r="D218" i="2" s="1"/>
  <c r="D219" i="2" s="1"/>
  <c r="D220" i="2" s="1"/>
  <c r="D221" i="2" s="1"/>
  <c r="D222" i="2" s="1"/>
  <c r="D223" i="2" s="1"/>
  <c r="D224" i="2" s="1"/>
  <c r="D225" i="2" s="1"/>
  <c r="D226" i="2" s="1"/>
  <c r="D227" i="2" s="1"/>
  <c r="D228" i="2" s="1"/>
  <c r="D229" i="2" s="1"/>
  <c r="D230" i="2" s="1"/>
  <c r="D231" i="2" s="1"/>
  <c r="D232" i="2" s="1"/>
  <c r="D233" i="2" s="1"/>
  <c r="D234" i="2" s="1"/>
  <c r="D235" i="2" s="1"/>
  <c r="D236" i="2" s="1"/>
  <c r="D237" i="2" s="1"/>
  <c r="D238" i="2" s="1"/>
  <c r="D239" i="2" s="1"/>
  <c r="D240" i="2" s="1"/>
  <c r="D241" i="2" s="1"/>
  <c r="D242" i="2" s="1"/>
  <c r="D243" i="2" s="1"/>
  <c r="D244" i="2" s="1"/>
  <c r="D245" i="2" s="1"/>
  <c r="D246" i="2" s="1"/>
  <c r="D247" i="2" s="1"/>
  <c r="B154" i="2"/>
  <c r="G131" i="2"/>
  <c r="G154" i="2" s="1"/>
  <c r="G62" i="2"/>
  <c r="G153" i="2"/>
  <c r="F132" i="2"/>
  <c r="F155" i="2" s="1"/>
  <c r="F63" i="2"/>
  <c r="E132" i="2"/>
  <c r="E63" i="2"/>
  <c r="C132" i="2"/>
  <c r="C63" i="2"/>
  <c r="K63" i="2"/>
  <c r="H131" i="2"/>
  <c r="H154" i="2" s="1"/>
  <c r="H62" i="2"/>
  <c r="I132" i="2"/>
  <c r="I155" i="2" s="1"/>
  <c r="I63" i="2"/>
  <c r="H153" i="2"/>
  <c r="I154" i="2"/>
  <c r="J133" i="2"/>
  <c r="J156" i="2" s="1"/>
  <c r="J64" i="2"/>
  <c r="D133" i="2"/>
  <c r="D156" i="2" s="1"/>
  <c r="D64" i="2"/>
  <c r="B132" i="2"/>
  <c r="B155" i="2" s="1"/>
  <c r="B63" i="2"/>
  <c r="E27" i="4" l="1"/>
  <c r="G6" i="4"/>
  <c r="F26" i="4"/>
  <c r="H21" i="4"/>
  <c r="G24" i="4"/>
  <c r="K80" i="2"/>
  <c r="K126" i="2"/>
  <c r="K149" i="2" s="1"/>
  <c r="E133" i="2"/>
  <c r="E156" i="2" s="1"/>
  <c r="E64" i="2"/>
  <c r="E155" i="2"/>
  <c r="G132" i="2"/>
  <c r="G155" i="2" s="1"/>
  <c r="G63" i="2"/>
  <c r="H132" i="2"/>
  <c r="H155" i="2" s="1"/>
  <c r="H63" i="2"/>
  <c r="K64" i="2"/>
  <c r="B133" i="2"/>
  <c r="B156" i="2" s="1"/>
  <c r="B64" i="2"/>
  <c r="J134" i="2"/>
  <c r="J157" i="2" s="1"/>
  <c r="J65" i="2"/>
  <c r="C133" i="2"/>
  <c r="C156" i="2" s="1"/>
  <c r="C64" i="2"/>
  <c r="F133" i="2"/>
  <c r="F156" i="2" s="1"/>
  <c r="F64" i="2"/>
  <c r="D134" i="2"/>
  <c r="D157" i="2" s="1"/>
  <c r="D65" i="2"/>
  <c r="I133" i="2"/>
  <c r="I64" i="2"/>
  <c r="C155" i="2"/>
  <c r="I21" i="4" l="1"/>
  <c r="H24" i="4"/>
  <c r="F27" i="4"/>
  <c r="H6" i="4"/>
  <c r="G26" i="4"/>
  <c r="K81" i="2"/>
  <c r="K127" i="2"/>
  <c r="K150" i="2" s="1"/>
  <c r="K65" i="2"/>
  <c r="C134" i="2"/>
  <c r="C157" i="2" s="1"/>
  <c r="C65" i="2"/>
  <c r="H133" i="2"/>
  <c r="H156" i="2" s="1"/>
  <c r="H64" i="2"/>
  <c r="I156" i="2"/>
  <c r="D135" i="2"/>
  <c r="D158" i="2" s="1"/>
  <c r="D66" i="2"/>
  <c r="G64" i="2"/>
  <c r="G133" i="2"/>
  <c r="G156" i="2" s="1"/>
  <c r="I134" i="2"/>
  <c r="I157" i="2" s="1"/>
  <c r="I65" i="2"/>
  <c r="B134" i="2"/>
  <c r="B157" i="2" s="1"/>
  <c r="B65" i="2"/>
  <c r="E134" i="2"/>
  <c r="E157" i="2" s="1"/>
  <c r="E65" i="2"/>
  <c r="J135" i="2"/>
  <c r="J158" i="2" s="1"/>
  <c r="J66" i="2"/>
  <c r="F134" i="2"/>
  <c r="F157" i="2" s="1"/>
  <c r="F65" i="2"/>
  <c r="G27" i="4" l="1"/>
  <c r="I6" i="4"/>
  <c r="H26" i="4"/>
  <c r="J21" i="4"/>
  <c r="I24" i="4"/>
  <c r="K128" i="2"/>
  <c r="K151" i="2" s="1"/>
  <c r="K82" i="2"/>
  <c r="H134" i="2"/>
  <c r="H157" i="2" s="1"/>
  <c r="H65" i="2"/>
  <c r="J136" i="2"/>
  <c r="J159" i="2" s="1"/>
  <c r="J67" i="2"/>
  <c r="C66" i="2"/>
  <c r="C135" i="2"/>
  <c r="C158" i="2" s="1"/>
  <c r="E135" i="2"/>
  <c r="E158" i="2" s="1"/>
  <c r="E66" i="2"/>
  <c r="G134" i="2"/>
  <c r="G157" i="2" s="1"/>
  <c r="G65" i="2"/>
  <c r="B135" i="2"/>
  <c r="B158" i="2" s="1"/>
  <c r="B66" i="2"/>
  <c r="D136" i="2"/>
  <c r="D159" i="2" s="1"/>
  <c r="D67" i="2"/>
  <c r="K66" i="2"/>
  <c r="F135" i="2"/>
  <c r="F158" i="2" s="1"/>
  <c r="F66" i="2"/>
  <c r="I135" i="2"/>
  <c r="I158" i="2" s="1"/>
  <c r="I66" i="2"/>
  <c r="K21" i="4" l="1"/>
  <c r="J24" i="4"/>
  <c r="J6" i="4"/>
  <c r="I26" i="4"/>
  <c r="H27" i="4"/>
  <c r="K83" i="2"/>
  <c r="K129" i="2"/>
  <c r="K152" i="2" s="1"/>
  <c r="I67" i="2"/>
  <c r="I136" i="2"/>
  <c r="I159" i="2" s="1"/>
  <c r="B136" i="2"/>
  <c r="B159" i="2" s="1"/>
  <c r="B67" i="2"/>
  <c r="F136" i="2"/>
  <c r="F159" i="2" s="1"/>
  <c r="F67" i="2"/>
  <c r="G135" i="2"/>
  <c r="G158" i="2" s="1"/>
  <c r="G66" i="2"/>
  <c r="J137" i="2"/>
  <c r="J160" i="2" s="1"/>
  <c r="J68" i="2"/>
  <c r="C136" i="2"/>
  <c r="C159" i="2" s="1"/>
  <c r="C67" i="2"/>
  <c r="K67" i="2"/>
  <c r="E136" i="2"/>
  <c r="E159" i="2" s="1"/>
  <c r="E67" i="2"/>
  <c r="H135" i="2"/>
  <c r="H158" i="2" s="1"/>
  <c r="H66" i="2"/>
  <c r="D137" i="2"/>
  <c r="D160" i="2" s="1"/>
  <c r="D68" i="2"/>
  <c r="I27" i="4" l="1"/>
  <c r="L21" i="4"/>
  <c r="K24" i="4"/>
  <c r="K6" i="4"/>
  <c r="J26" i="4"/>
  <c r="K130" i="2"/>
  <c r="K153" i="2" s="1"/>
  <c r="K84" i="2"/>
  <c r="K68" i="2"/>
  <c r="G136" i="2"/>
  <c r="G159" i="2" s="1"/>
  <c r="G67" i="2"/>
  <c r="H136" i="2"/>
  <c r="H159" i="2" s="1"/>
  <c r="H67" i="2"/>
  <c r="B137" i="2"/>
  <c r="B160" i="2" s="1"/>
  <c r="B68" i="2"/>
  <c r="C137" i="2"/>
  <c r="C160" i="2" s="1"/>
  <c r="C68" i="2"/>
  <c r="D138" i="2"/>
  <c r="D161" i="2" s="1"/>
  <c r="D69" i="2"/>
  <c r="F137" i="2"/>
  <c r="F160" i="2" s="1"/>
  <c r="F68" i="2"/>
  <c r="E137" i="2"/>
  <c r="E160" i="2" s="1"/>
  <c r="E68" i="2"/>
  <c r="J138" i="2"/>
  <c r="J161" i="2" s="1"/>
  <c r="J69" i="2"/>
  <c r="I137" i="2"/>
  <c r="I160" i="2" s="1"/>
  <c r="I68" i="2"/>
  <c r="J27" i="4" l="1"/>
  <c r="L6" i="4"/>
  <c r="K26" i="4"/>
  <c r="M21" i="4"/>
  <c r="L24" i="4"/>
  <c r="K131" i="2"/>
  <c r="K154" i="2" s="1"/>
  <c r="K85" i="2"/>
  <c r="F138" i="2"/>
  <c r="F161" i="2" s="1"/>
  <c r="F69" i="2"/>
  <c r="H137" i="2"/>
  <c r="H160" i="2" s="1"/>
  <c r="H68" i="2"/>
  <c r="I138" i="2"/>
  <c r="I161" i="2" s="1"/>
  <c r="I69" i="2"/>
  <c r="G137" i="2"/>
  <c r="G160" i="2" s="1"/>
  <c r="G68" i="2"/>
  <c r="J139" i="2"/>
  <c r="J75" i="2"/>
  <c r="J183" i="2" s="1"/>
  <c r="J187" i="2" s="1"/>
  <c r="C138" i="2"/>
  <c r="C161" i="2" s="1"/>
  <c r="C69" i="2"/>
  <c r="D139" i="2"/>
  <c r="D75" i="2"/>
  <c r="D183" i="2" s="1"/>
  <c r="D187" i="2" s="1"/>
  <c r="E69" i="2"/>
  <c r="E138" i="2"/>
  <c r="E161" i="2" s="1"/>
  <c r="B138" i="2"/>
  <c r="B161" i="2" s="1"/>
  <c r="B69" i="2"/>
  <c r="K69" i="2"/>
  <c r="K27" i="4" l="1"/>
  <c r="N21" i="4"/>
  <c r="M24" i="4"/>
  <c r="M6" i="4"/>
  <c r="L26" i="4"/>
  <c r="K86" i="2"/>
  <c r="K132" i="2"/>
  <c r="K155" i="2" s="1"/>
  <c r="K75" i="2"/>
  <c r="K183" i="2" s="1"/>
  <c r="D162" i="2"/>
  <c r="D168" i="2" s="1"/>
  <c r="D145" i="2"/>
  <c r="I139" i="2"/>
  <c r="I75" i="2"/>
  <c r="I183" i="2" s="1"/>
  <c r="I187" i="2" s="1"/>
  <c r="H138" i="2"/>
  <c r="H161" i="2" s="1"/>
  <c r="H69" i="2"/>
  <c r="J162" i="2"/>
  <c r="J168" i="2" s="1"/>
  <c r="J145" i="2"/>
  <c r="B139" i="2"/>
  <c r="B75" i="2"/>
  <c r="B183" i="2" s="1"/>
  <c r="B187" i="2" s="1"/>
  <c r="F139" i="2"/>
  <c r="F75" i="2"/>
  <c r="F183" i="2" s="1"/>
  <c r="F187" i="2" s="1"/>
  <c r="C139" i="2"/>
  <c r="C75" i="2"/>
  <c r="C183" i="2" s="1"/>
  <c r="C187" i="2" s="1"/>
  <c r="G138" i="2"/>
  <c r="G161" i="2" s="1"/>
  <c r="G69" i="2"/>
  <c r="E139" i="2"/>
  <c r="E75" i="2"/>
  <c r="E183" i="2" s="1"/>
  <c r="E187" i="2" s="1"/>
  <c r="L27" i="4" l="1"/>
  <c r="N6" i="4"/>
  <c r="M26" i="4"/>
  <c r="O21" i="4"/>
  <c r="N24" i="4"/>
  <c r="K87" i="2"/>
  <c r="K133" i="2"/>
  <c r="K156" i="2" s="1"/>
  <c r="H139" i="2"/>
  <c r="H75" i="2"/>
  <c r="H183" i="2" s="1"/>
  <c r="H187" i="2" s="1"/>
  <c r="H188" i="2" s="1"/>
  <c r="E162" i="2"/>
  <c r="E168" i="2" s="1"/>
  <c r="E173" i="2" s="1"/>
  <c r="E145" i="2"/>
  <c r="I162" i="2"/>
  <c r="I168" i="2" s="1"/>
  <c r="I179" i="2" s="1"/>
  <c r="I145" i="2"/>
  <c r="F188" i="2"/>
  <c r="E188" i="2"/>
  <c r="D188" i="2"/>
  <c r="C188" i="2"/>
  <c r="J188" i="2"/>
  <c r="I188" i="2"/>
  <c r="G139" i="2"/>
  <c r="G75" i="2"/>
  <c r="G183" i="2" s="1"/>
  <c r="G187" i="2" s="1"/>
  <c r="G188" i="2" s="1"/>
  <c r="D173" i="2"/>
  <c r="J173" i="2"/>
  <c r="D191" i="2"/>
  <c r="F162" i="2"/>
  <c r="F168" i="2" s="1"/>
  <c r="F145" i="2"/>
  <c r="B162" i="2"/>
  <c r="B168" i="2" s="1"/>
  <c r="B173" i="2" s="1"/>
  <c r="B145" i="2"/>
  <c r="C162" i="2"/>
  <c r="C168" i="2" s="1"/>
  <c r="C179" i="2" s="1"/>
  <c r="C145" i="2"/>
  <c r="J179" i="2"/>
  <c r="J191" i="2"/>
  <c r="D179" i="2"/>
  <c r="M27" i="4" l="1"/>
  <c r="P21" i="4"/>
  <c r="O24" i="4"/>
  <c r="O6" i="4"/>
  <c r="N26" i="4"/>
  <c r="K134" i="2"/>
  <c r="K157" i="2" s="1"/>
  <c r="K88" i="2"/>
  <c r="E179" i="2"/>
  <c r="G162" i="2"/>
  <c r="G168" i="2" s="1"/>
  <c r="G172" i="2" s="1"/>
  <c r="G145" i="2"/>
  <c r="B179" i="2"/>
  <c r="E178" i="2"/>
  <c r="D178" i="2"/>
  <c r="C178" i="2"/>
  <c r="I178" i="2"/>
  <c r="I191" i="2"/>
  <c r="F178" i="2"/>
  <c r="B178" i="2"/>
  <c r="J178" i="2"/>
  <c r="J171" i="2"/>
  <c r="B171" i="2"/>
  <c r="I171" i="2"/>
  <c r="F171" i="2"/>
  <c r="E171" i="2"/>
  <c r="B191" i="2"/>
  <c r="D171" i="2"/>
  <c r="C171" i="2"/>
  <c r="F175" i="2"/>
  <c r="E175" i="2"/>
  <c r="F191" i="2"/>
  <c r="D175" i="2"/>
  <c r="J175" i="2"/>
  <c r="B175" i="2"/>
  <c r="I175" i="2"/>
  <c r="C175" i="2"/>
  <c r="I173" i="2"/>
  <c r="I174" i="2"/>
  <c r="E191" i="2"/>
  <c r="E174" i="2"/>
  <c r="D174" i="2"/>
  <c r="C174" i="2"/>
  <c r="J174" i="2"/>
  <c r="B174" i="2"/>
  <c r="F174" i="2"/>
  <c r="F179" i="2"/>
  <c r="F172" i="2"/>
  <c r="E172" i="2"/>
  <c r="C172" i="2"/>
  <c r="C191" i="2"/>
  <c r="J172" i="2"/>
  <c r="B172" i="2"/>
  <c r="I172" i="2"/>
  <c r="D172" i="2"/>
  <c r="C173" i="2"/>
  <c r="F173" i="2"/>
  <c r="H162" i="2"/>
  <c r="H168" i="2" s="1"/>
  <c r="H171" i="2" s="1"/>
  <c r="H145" i="2"/>
  <c r="N27" i="4" l="1"/>
  <c r="P6" i="4"/>
  <c r="O26" i="4"/>
  <c r="Q21" i="4"/>
  <c r="P24" i="4"/>
  <c r="K135" i="2"/>
  <c r="K158" i="2" s="1"/>
  <c r="K89" i="2"/>
  <c r="G178" i="2"/>
  <c r="G175" i="2"/>
  <c r="G174" i="2"/>
  <c r="G171" i="2"/>
  <c r="H172" i="2"/>
  <c r="H174" i="2"/>
  <c r="F189" i="2"/>
  <c r="E189" i="2"/>
  <c r="D189" i="2"/>
  <c r="C189" i="2"/>
  <c r="J189" i="2"/>
  <c r="I189" i="2"/>
  <c r="H191" i="2"/>
  <c r="H189" i="2" s="1"/>
  <c r="H177" i="2"/>
  <c r="G177" i="2"/>
  <c r="F177" i="2"/>
  <c r="D177" i="2"/>
  <c r="C177" i="2"/>
  <c r="J177" i="2"/>
  <c r="B177" i="2"/>
  <c r="I177" i="2"/>
  <c r="E177" i="2"/>
  <c r="H179" i="2"/>
  <c r="H173" i="2"/>
  <c r="H175" i="2"/>
  <c r="H178" i="2"/>
  <c r="C176" i="2"/>
  <c r="G191" i="2"/>
  <c r="G189" i="2" s="1"/>
  <c r="J176" i="2"/>
  <c r="B176" i="2"/>
  <c r="I176" i="2"/>
  <c r="G176" i="2"/>
  <c r="F176" i="2"/>
  <c r="E176" i="2"/>
  <c r="D176" i="2"/>
  <c r="H176" i="2"/>
  <c r="G173" i="2"/>
  <c r="G179" i="2"/>
  <c r="O27" i="4" l="1"/>
  <c r="R21" i="4"/>
  <c r="Q24" i="4"/>
  <c r="Q6" i="4"/>
  <c r="P26" i="4"/>
  <c r="K90" i="2"/>
  <c r="K136" i="2"/>
  <c r="K159" i="2" s="1"/>
  <c r="P27" i="4" l="1"/>
  <c r="R6" i="4"/>
  <c r="Q26" i="4"/>
  <c r="S21" i="4"/>
  <c r="R24" i="4"/>
  <c r="K91" i="2"/>
  <c r="K137" i="2"/>
  <c r="K160" i="2" s="1"/>
  <c r="Q27" i="4" l="1"/>
  <c r="T21" i="4"/>
  <c r="S24" i="4"/>
  <c r="S6" i="4"/>
  <c r="R26" i="4"/>
  <c r="K92" i="2"/>
  <c r="K139" i="2" s="1"/>
  <c r="K162" i="2" s="1"/>
  <c r="K138" i="2"/>
  <c r="R27" i="4" l="1"/>
  <c r="T6" i="4"/>
  <c r="S26" i="4"/>
  <c r="U21" i="4"/>
  <c r="T24" i="4"/>
  <c r="K98" i="2"/>
  <c r="K184" i="2" s="1"/>
  <c r="K187" i="2" s="1"/>
  <c r="K188" i="2" s="1"/>
  <c r="K161" i="2"/>
  <c r="K168" i="2" s="1"/>
  <c r="K145" i="2"/>
  <c r="S27" i="4" l="1"/>
  <c r="V21" i="4"/>
  <c r="U24" i="4"/>
  <c r="U6" i="4"/>
  <c r="T26" i="4"/>
  <c r="J180" i="2"/>
  <c r="K175" i="2"/>
  <c r="G180" i="2"/>
  <c r="K178" i="2"/>
  <c r="K171" i="2"/>
  <c r="D180" i="2"/>
  <c r="K180" i="2"/>
  <c r="K176" i="2"/>
  <c r="K191" i="2"/>
  <c r="K189" i="2" s="1"/>
  <c r="B180" i="2"/>
  <c r="K172" i="2"/>
  <c r="I180" i="2"/>
  <c r="F180" i="2"/>
  <c r="H180" i="2"/>
  <c r="E180" i="2"/>
  <c r="K177" i="2"/>
  <c r="K173" i="2"/>
  <c r="K179" i="2"/>
  <c r="K174" i="2"/>
  <c r="C180" i="2"/>
  <c r="T27" i="4" l="1"/>
  <c r="V6" i="4"/>
  <c r="U26" i="4"/>
  <c r="W21" i="4"/>
  <c r="V24" i="4"/>
  <c r="C49" i="1"/>
  <c r="B14" i="5" l="1"/>
  <c r="C52" i="1"/>
  <c r="I13" i="1" s="1"/>
  <c r="U27" i="4"/>
  <c r="W6" i="4"/>
  <c r="V26" i="4"/>
  <c r="X21" i="4"/>
  <c r="W24" i="4"/>
  <c r="C71" i="1"/>
  <c r="C78" i="1"/>
  <c r="C80" i="1" s="1"/>
  <c r="C77" i="1"/>
  <c r="V27" i="4" l="1"/>
  <c r="Y21" i="4"/>
  <c r="X24" i="4"/>
  <c r="X6" i="4"/>
  <c r="W26" i="4"/>
  <c r="C79" i="1"/>
  <c r="C73" i="1"/>
  <c r="C104" i="1" l="1"/>
  <c r="C106" i="1" s="1"/>
  <c r="I10" i="1" s="1"/>
  <c r="I14" i="1"/>
  <c r="W27" i="4"/>
  <c r="C72" i="1"/>
  <c r="Y6" i="4"/>
  <c r="X26" i="4"/>
  <c r="Z21" i="4"/>
  <c r="Y24" i="4"/>
  <c r="X27" i="4" l="1"/>
  <c r="AA21" i="4"/>
  <c r="Z24" i="4"/>
  <c r="Z6" i="4"/>
  <c r="Y26" i="4"/>
  <c r="Y27" i="4" l="1"/>
  <c r="AA6" i="4"/>
  <c r="Z26" i="4"/>
  <c r="AB21" i="4"/>
  <c r="AA24" i="4"/>
  <c r="Z27" i="4" l="1"/>
  <c r="AC21" i="4"/>
  <c r="AB24" i="4"/>
  <c r="AB6" i="4"/>
  <c r="AA26" i="4"/>
  <c r="AA27" i="4" l="1"/>
  <c r="AC6" i="4"/>
  <c r="AB26" i="4"/>
  <c r="AD21" i="4"/>
  <c r="AC24" i="4"/>
  <c r="AB27" i="4" l="1"/>
  <c r="AE21" i="4"/>
  <c r="AD24" i="4"/>
  <c r="AD6" i="4"/>
  <c r="AC26" i="4"/>
  <c r="AC27" i="4" l="1"/>
  <c r="AE6" i="4"/>
  <c r="AD26" i="4"/>
  <c r="AF21" i="4"/>
  <c r="AE24" i="4"/>
  <c r="AD27" i="4" l="1"/>
  <c r="AG21" i="4"/>
  <c r="AF24" i="4"/>
  <c r="AF6" i="4"/>
  <c r="AE26" i="4"/>
  <c r="AE27" i="4" l="1"/>
  <c r="AG6" i="4"/>
  <c r="C6" i="4" s="1"/>
  <c r="AF26" i="4"/>
  <c r="AG24" i="4"/>
  <c r="C21" i="4"/>
  <c r="AF27" i="4" l="1"/>
  <c r="AG26" i="4"/>
  <c r="C26" i="4" s="1"/>
  <c r="C24" i="4"/>
  <c r="AG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Vesterbæk</author>
    <author>Magnus Løvendal Petersen</author>
  </authors>
  <commentList>
    <comment ref="C4" authorId="0" shapeId="0" xr:uid="{19DE5EEA-C8DE-4067-A267-B36E842E0DA5}">
      <text>
        <r>
          <rPr>
            <sz val="9"/>
            <color indexed="81"/>
            <rFont val="Tahoma"/>
            <family val="2"/>
          </rPr>
          <t xml:space="preserve">Skriv hvilken landsby eller område beregningerne er lavet på bagfrund af. </t>
        </r>
      </text>
    </comment>
    <comment ref="C6" authorId="0" shapeId="0" xr:uid="{34DB7085-432B-4B83-B630-03593D772478}">
      <text>
        <r>
          <rPr>
            <sz val="9"/>
            <color indexed="81"/>
            <rFont val="Tahoma"/>
            <family val="2"/>
          </rPr>
          <t xml:space="preserve">Her indtastet det antal boligere som ligger i hele det område som ligger til grund for beregningerne. Det kan være hele landsbyen eller et delområde. 
</t>
        </r>
      </text>
    </comment>
    <comment ref="D6" authorId="0" shapeId="0" xr:uid="{F53055AB-3081-493B-BFA7-4D7EEB93610C}">
      <text>
        <r>
          <rPr>
            <sz val="9"/>
            <color indexed="81"/>
            <rFont val="Tahoma"/>
            <family val="2"/>
          </rPr>
          <t>Her indtastet det antal boliger som ønsker at være med i landsbyvarmekonceptet</t>
        </r>
      </text>
    </comment>
    <comment ref="D24" authorId="1" shapeId="0" xr:uid="{949F01F8-98F9-46D2-B4F4-961DED766FE4}">
      <text>
        <r>
          <rPr>
            <sz val="9"/>
            <color indexed="81"/>
            <rFont val="Tahoma"/>
            <family val="2"/>
          </rPr>
          <t>Kategori 1 = Lav afstand mellem deltagende husstande
Kategori 2 = Middel afstand mellem deltagende husstande
Kategori 3 = Høj afstand mellem deltagende husstande
* Se visualisering af tæthedskategorier for vejledning</t>
        </r>
      </text>
    </comment>
    <comment ref="D30" authorId="1" shapeId="0" xr:uid="{3B39CB96-53C6-497B-BBF6-BBEE90ACC198}">
      <text>
        <r>
          <rPr>
            <sz val="9"/>
            <color indexed="81"/>
            <rFont val="Tahoma"/>
            <family val="2"/>
          </rPr>
          <t xml:space="preserve">15 MWh/år Netto ca. = Brutto 1.500 Nm³ gas/år = Brutto 1.750 L olie/år = Lavt gennemsnitsforbrug
20 MWh/år Netto ca. = Brutto 2.000 Nm³ gas/år = Brutto 2.350 L olie/år = Middel gennemsnitsforbrug
25 MWh/år Netto ca. = Brutto 2.500 Nm³ gas/år = Brutto 2.950 L olie/år = Højt gennemsnitsforbrug
</t>
        </r>
      </text>
    </comment>
    <comment ref="D31" authorId="1" shapeId="0" xr:uid="{8FE30C02-539C-43C4-B1EA-E9040595B003}">
      <text>
        <r>
          <rPr>
            <sz val="9"/>
            <color indexed="81"/>
            <rFont val="Tahoma"/>
            <family val="2"/>
          </rPr>
          <t>3,5 SCOP= Behov for høj fremløbstemperatur (Gamle radiatorer i ældre huse - før 1980)
4,0 SCOP= Behov for Middel fremløbstemperatur ("Nye" radiatorer i "nyere" huse - 1980 - 2000)
4,5 SCOP= Behov for lav fremløbstemperatur (Gulvvarme i nye huse - efter 2000)</t>
        </r>
      </text>
    </comment>
    <comment ref="D32" authorId="1" shapeId="0" xr:uid="{AF4A6B50-F2A0-405C-93A8-836B92D107CF}">
      <text>
        <r>
          <rPr>
            <sz val="9"/>
            <color indexed="81"/>
            <rFont val="Tahoma"/>
            <family val="2"/>
          </rPr>
          <t>Ved ja regnes der med 30øre/kWh jf. nuværende ordning (2019)
Ved nej regnes der ikke med tilskud jf. energisparindsatsen
* se mere på følgende link:
https://ens.dk/ansvarsomraader/energibesparelser/energiselskabernes-energispareindsats/bibliotek</t>
        </r>
      </text>
    </comment>
    <comment ref="D33" authorId="1" shapeId="0" xr:uid="{030F7196-5E1A-4D77-A980-80C992B56EC8}">
      <text>
        <r>
          <rPr>
            <b/>
            <sz val="9"/>
            <color indexed="81"/>
            <rFont val="Tahoma"/>
            <family val="2"/>
          </rPr>
          <t>Bemærk at dette felt kun bør indtastes af en sagkyndig!
Kendes denne værdi ikke eksakt skal feltet efterlades tomt!</t>
        </r>
      </text>
    </comment>
    <comment ref="C35" authorId="0" shapeId="0" xr:uid="{0DB092FF-9276-484B-A3BA-3B5509488903}">
      <text>
        <r>
          <rPr>
            <sz val="9"/>
            <color indexed="81"/>
            <rFont val="Tahoma"/>
            <family val="2"/>
          </rPr>
          <t>Jf projektbekendtgørelsen 1782 a 27/12/2018 Når  den årlige energimængde er under 500TJ = 138.000MWh/år bliver anlægget betragtet som et mindre fjernvarmeområde, og kommunalbestyrelsen kan godkende projektforslag, hvis det viser sig at være det samfundsøkonomisk mest fordelagtige anlæg.</t>
        </r>
      </text>
    </comment>
    <comment ref="D35" authorId="0" shapeId="0" xr:uid="{A96C86C3-475A-4987-8B4E-460401F4C71C}">
      <text>
        <r>
          <rPr>
            <sz val="9"/>
            <color indexed="81"/>
            <rFont val="Tahoma"/>
            <family val="2"/>
          </rPr>
          <t>Jf projektbekendtgørelsen 1782 a 27/12/2018 Når  den årlige energimængde er under 500TJ = 138.000MWh/år bliver anlægget betragtet som et mindre fjernvarmeområde, og kommunalbestyrelsen kan godkende projektforslag, hvis det viser sig at være det samfundsøkonomisk mest fordelagtige anlæg.</t>
        </r>
      </text>
    </comment>
    <comment ref="C36" authorId="0" shapeId="0" xr:uid="{BCC24424-274C-42D5-A331-47C12BC96A30}">
      <text>
        <r>
          <rPr>
            <sz val="9"/>
            <color indexed="81"/>
            <rFont val="Tahoma"/>
            <family val="2"/>
          </rPr>
          <t>Jf bekendtgørelsen om varmeforsyning LBK nr 64 af 21/01/2019 bliver et landsbyvarmeanlæg underlagt denne hvis dimensionernende peakeffekt er over 250 kW. Dette giver mulighed for kommunalgaranti for optagelse af lån, hvilket er en fordel, da det giver mulighed for lav rente.
Jf projektbekendtgørelsen 1792 af 27/12/2018 kan anlæg med en peakværdi på over 1000 kW kun godkendes af kommunalbestyrelsen hvis det er et kraftvarme anlæg som både laver varme og el. Derfor skal vi gerne holde os mellem 250-1000kW i Peak for at kunne lave landsbyvarme med nuværende lovgivning.</t>
        </r>
      </text>
    </comment>
    <comment ref="D36" authorId="0" shapeId="0" xr:uid="{1D6F8E5B-C2E3-44DA-BAE1-2E24DC31676D}">
      <text>
        <r>
          <rPr>
            <sz val="9"/>
            <color indexed="81"/>
            <rFont val="Tahoma"/>
            <family val="2"/>
          </rPr>
          <t>Jf bekendtgørelsen om varmeforsyning LBK nr 64 af 21/01/2019 bliver et landsbyvarmeanlæg underlagt denne hvis dimensionernende peakeffekt er over 250 kW. Dette giver mulighed for kommunalgaranti for optagelse af lån, hvilket er en fordel, da det giver mulighed for lav rente.
Jf projektbekendtgørelsen 1792 af 27/12/2018 kan anlæg med en peakværdi på over 1000 kW kun godkendes af kommunalbestyrelsen hvis det er et kraftvarme anlæg som både laver varme og el. Derfor skal vi gerne holde os mellem 250-1000kW i Peak for at kunne lave landsbyvarme med nuværende lovgivning.</t>
        </r>
      </text>
    </comment>
    <comment ref="D40" authorId="0" shapeId="0" xr:uid="{39406F2E-11D9-4C9C-92E0-58E8E61F6B8E}">
      <text>
        <r>
          <rPr>
            <sz val="9"/>
            <color indexed="81"/>
            <rFont val="Tahoma"/>
            <family val="2"/>
          </rPr>
          <t xml:space="preserve">Dette felt fortæller hvor meget grundvandsboringerne udnyttes. 
For at give så lav en investering til hver husstand skal denne værdi helst være mellem 85-100%. Dette opnås ved at få det korrekte antal husstande med i projektet.  </t>
        </r>
      </text>
    </comment>
    <comment ref="A57" authorId="0" shapeId="0" xr:uid="{450473C6-E6B3-412C-82AF-E9584DD2DE81}">
      <text>
        <r>
          <rPr>
            <sz val="9"/>
            <color indexed="81"/>
            <rFont val="Tahoma"/>
            <family val="2"/>
          </rPr>
          <t>Denne omkostninger dækker over de årlige omkostninger der relatere sig til infrastruken. Det dækker el til pumper, service på grundvandssystemet, rensning af vekslere og rensnings af boringer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Magnus Løvendal Petersen</author>
    <author>Martin Vesterbæk</author>
  </authors>
  <commentList>
    <comment ref="B6" authorId="0" shapeId="0" xr:uid="{B3E98C54-83CB-477B-9830-B4189A964D88}">
      <text>
        <r>
          <rPr>
            <sz val="9"/>
            <color indexed="81"/>
            <rFont val="Tahoma"/>
            <family val="2"/>
          </rPr>
          <t>Denne sættes til 0% hvis der ikke tages lån.</t>
        </r>
      </text>
    </comment>
    <comment ref="B7" authorId="0" shapeId="0" xr:uid="{A5845142-AA0A-42A9-A847-A33BC5F85F33}">
      <text>
        <r>
          <rPr>
            <sz val="9"/>
            <color indexed="81"/>
            <rFont val="Tahoma"/>
            <family val="2"/>
          </rPr>
          <t>Bemærk at dette felt påvirker løbetid såvel som levetiden for anlægget, og bestemmer derved tidshorizonten for beregningen</t>
        </r>
      </text>
    </comment>
    <comment ref="B8" authorId="0" shapeId="0" xr:uid="{90327FD6-0876-4B83-A716-831F702F3ED9}">
      <text>
        <r>
          <rPr>
            <sz val="9"/>
            <color indexed="81"/>
            <rFont val="Tahoma"/>
            <family val="2"/>
          </rPr>
          <t>Diskonteringsrenten bruges til beregning af nutidsværdi.</t>
        </r>
      </text>
    </comment>
    <comment ref="K25" authorId="0" shapeId="0" xr:uid="{4507479D-F708-4822-8CDD-BB45B90AA708}">
      <text>
        <r>
          <rPr>
            <sz val="9"/>
            <color indexed="81"/>
            <rFont val="Tahoma"/>
            <family val="2"/>
          </rPr>
          <t>Denne værdi er afhængig af fællesanlægsinvesteringen's afskrivning samt det antal år som A.M.B.A. Vedtager.</t>
        </r>
      </text>
    </comment>
    <comment ref="B26" authorId="1" shapeId="0" xr:uid="{263C0E24-52A1-4DAD-962A-D7136C71991C}">
      <text>
        <r>
          <rPr>
            <sz val="9"/>
            <color indexed="81"/>
            <rFont val="Tahoma"/>
            <family val="2"/>
          </rPr>
          <t>Priserne til drift og vedligeholdelse er taget fra ENS teknologikkatalog 2019</t>
        </r>
      </text>
    </comment>
    <comment ref="C26" authorId="1" shapeId="0" xr:uid="{1409F7AD-91CD-4D2F-A0C2-7E9BEFC32A0E}">
      <text>
        <r>
          <rPr>
            <sz val="9"/>
            <color indexed="81"/>
            <rFont val="Tahoma"/>
            <family val="2"/>
          </rPr>
          <t>Priserne til drift og vedligeholdelse er taget fra ENS teknologikkatalog 2019</t>
        </r>
      </text>
    </comment>
    <comment ref="D26" authorId="1" shapeId="0" xr:uid="{DC52A406-C43C-49DB-BE82-5362B9006292}">
      <text>
        <r>
          <rPr>
            <sz val="9"/>
            <color indexed="81"/>
            <rFont val="Tahoma"/>
            <family val="2"/>
          </rPr>
          <t>Priserne til drift og vedligeholdelse er taget fra ENS teknologikkatalog 2019</t>
        </r>
      </text>
    </comment>
    <comment ref="E26" authorId="1" shapeId="0" xr:uid="{3B12153A-5F78-42D2-8D40-549D43A9B5D7}">
      <text>
        <r>
          <rPr>
            <sz val="9"/>
            <color indexed="81"/>
            <rFont val="Tahoma"/>
            <family val="2"/>
          </rPr>
          <t>Priserne til drift og vedligeholdelse er taget fra ENS teknologikkatalog 2019</t>
        </r>
      </text>
    </comment>
    <comment ref="F26" authorId="1" shapeId="0" xr:uid="{EEE63488-E304-4B60-9658-6576E4AE4F8E}">
      <text>
        <r>
          <rPr>
            <sz val="9"/>
            <color indexed="81"/>
            <rFont val="Tahoma"/>
            <family val="2"/>
          </rPr>
          <t>Priserne til drift og vedligeholdelse er taget fra ENS teknologikkatalog 2019</t>
        </r>
      </text>
    </comment>
    <comment ref="G26" authorId="1" shapeId="0" xr:uid="{0159D177-4392-4345-8B4C-F99257BD20D9}">
      <text>
        <r>
          <rPr>
            <sz val="9"/>
            <color indexed="81"/>
            <rFont val="Tahoma"/>
            <family val="2"/>
          </rPr>
          <t>Priserne til drift og vedligeholdelse er taget fra ENS teknologikkatalog 2019</t>
        </r>
      </text>
    </comment>
    <comment ref="H26" authorId="1" shapeId="0" xr:uid="{5A9D25EE-5246-4B79-AC44-B8CEB5C2CFBB}">
      <text>
        <r>
          <rPr>
            <sz val="9"/>
            <color indexed="81"/>
            <rFont val="Tahoma"/>
            <family val="2"/>
          </rPr>
          <t>Priserne til drift og vedligeholdelse er taget fra ENS teknologikkatalog 2019</t>
        </r>
      </text>
    </comment>
    <comment ref="I26" authorId="1" shapeId="0" xr:uid="{297A1EF4-069C-443F-8215-3F24EA2B9699}">
      <text>
        <r>
          <rPr>
            <sz val="9"/>
            <color indexed="81"/>
            <rFont val="Tahoma"/>
            <family val="2"/>
          </rPr>
          <t>Priserne til drift og vedligeholdelse er taget fra ENS teknologikkatalog 2019</t>
        </r>
      </text>
    </comment>
    <comment ref="K26" authorId="1" shapeId="0" xr:uid="{7C3A9DC6-6886-4D5A-8B60-8E21E6141C64}">
      <text>
        <r>
          <rPr>
            <sz val="9"/>
            <color indexed="81"/>
            <rFont val="Tahoma"/>
            <family val="2"/>
          </rPr>
          <t xml:space="preserve">Indeholder årligt lovpligtigt servicetjek inkl kørsel og reservedele i op til 15 år for udvalgte varmepumpefabrikanter </t>
        </r>
      </text>
    </comment>
  </commentList>
</comments>
</file>

<file path=xl/sharedStrings.xml><?xml version="1.0" encoding="utf-8"?>
<sst xmlns="http://schemas.openxmlformats.org/spreadsheetml/2006/main" count="674" uniqueCount="306">
  <si>
    <t>Bemærk at der kun kan tastes værdier i de grå felter</t>
  </si>
  <si>
    <t>(Alle priser er inkl. Moms)</t>
  </si>
  <si>
    <t>Nuværende opvarmningsform</t>
  </si>
  <si>
    <t>Deltagende husstande</t>
  </si>
  <si>
    <t>Enhed</t>
  </si>
  <si>
    <t>Resultat af beregningsmodel (helhedsbetragtning)</t>
  </si>
  <si>
    <t>Eksempel på rørføring for en konkret case</t>
  </si>
  <si>
    <t>Olie</t>
  </si>
  <si>
    <t>Antal</t>
  </si>
  <si>
    <t>kr./år</t>
  </si>
  <si>
    <t>Gas</t>
  </si>
  <si>
    <t>Bio-kedel</t>
  </si>
  <si>
    <t>Varmepumper</t>
  </si>
  <si>
    <r>
      <t>Elvarme</t>
    </r>
    <r>
      <rPr>
        <vertAlign val="superscript"/>
        <sz val="11"/>
        <color theme="1"/>
        <rFont val="Calibri"/>
        <family val="2"/>
        <scheme val="minor"/>
      </rPr>
      <t>6</t>
    </r>
  </si>
  <si>
    <t>år</t>
  </si>
  <si>
    <t>Fjernvarme</t>
  </si>
  <si>
    <t>Tons CO2/år</t>
  </si>
  <si>
    <t>Sum</t>
  </si>
  <si>
    <t>Brændselspris</t>
  </si>
  <si>
    <t>Gns. Std. Pris 2019</t>
  </si>
  <si>
    <t>kr/liter</t>
  </si>
  <si>
    <t>Brændsel</t>
  </si>
  <si>
    <t>Brændværdi</t>
  </si>
  <si>
    <t>Virkningsgrad</t>
  </si>
  <si>
    <t>Nyinvesterings-sats (kr. pr. kW)</t>
  </si>
  <si>
    <t>kg CO₂/MWh</t>
  </si>
  <si>
    <t>CO2 besparelse By</t>
  </si>
  <si>
    <t>CO2 besparelse Deltagende</t>
  </si>
  <si>
    <t xml:space="preserve"> </t>
  </si>
  <si>
    <t>kr/kg</t>
  </si>
  <si>
    <t>kr./liter</t>
  </si>
  <si>
    <t>kr/kWh EL</t>
  </si>
  <si>
    <t>kr./Nm³</t>
  </si>
  <si>
    <t>Elvarme</t>
  </si>
  <si>
    <t>kr./kg</t>
  </si>
  <si>
    <t>kr/kWh Varme</t>
  </si>
  <si>
    <t>kr./kWh</t>
  </si>
  <si>
    <t>Infrastruktur</t>
  </si>
  <si>
    <t>Tæthedskategori (Se visualisering)</t>
  </si>
  <si>
    <t>Kategori 1</t>
  </si>
  <si>
    <t>Tilslutningsbidrag pr. husstand</t>
  </si>
  <si>
    <t>kr.</t>
  </si>
  <si>
    <t>E-Besparelser</t>
  </si>
  <si>
    <t>Konv. Fra</t>
  </si>
  <si>
    <t>konv. Til</t>
  </si>
  <si>
    <t>prioritet</t>
  </si>
  <si>
    <t>E-Indberetning Hele byen</t>
  </si>
  <si>
    <t>E-Indberetning deltagende</t>
  </si>
  <si>
    <t>Varmebehov</t>
  </si>
  <si>
    <t>Varmebehov pr. husstand (Netto)</t>
  </si>
  <si>
    <t>MWh/år</t>
  </si>
  <si>
    <t>Varmepumpernes Årsvirkningsgrad</t>
  </si>
  <si>
    <t>SCOP</t>
  </si>
  <si>
    <t>Benyttes tilskud til energibesparelser jf. 2019?</t>
  </si>
  <si>
    <t>Ja</t>
  </si>
  <si>
    <t>Manuel overskrivning af grundvandsydelse pr. dipol</t>
  </si>
  <si>
    <t>Anvendt grundsvandydelse pr. dipol</t>
  </si>
  <si>
    <t>m³/h</t>
  </si>
  <si>
    <t>I alt</t>
  </si>
  <si>
    <t>Samlet varmebehov for deltagere (Netto)</t>
  </si>
  <si>
    <t>kW</t>
  </si>
  <si>
    <t>Nej</t>
  </si>
  <si>
    <r>
      <t>Dim. Hele antal boringspar inkl. Sam. Faktor</t>
    </r>
    <r>
      <rPr>
        <vertAlign val="superscript"/>
        <sz val="11"/>
        <color theme="1"/>
        <rFont val="Calibri"/>
        <family val="2"/>
        <scheme val="minor"/>
      </rPr>
      <t>1</t>
    </r>
  </si>
  <si>
    <t>stk.</t>
  </si>
  <si>
    <r>
      <t>Dim. Hele antal boringspar eks. Sam. Faktor</t>
    </r>
    <r>
      <rPr>
        <vertAlign val="superscript"/>
        <sz val="11"/>
        <color theme="1"/>
        <rFont val="Calibri"/>
        <family val="2"/>
        <scheme val="minor"/>
      </rPr>
      <t>1</t>
    </r>
  </si>
  <si>
    <t>Kategori 2</t>
  </si>
  <si>
    <t>Kategori 3</t>
  </si>
  <si>
    <t>Tilslutningsbidrag for tilkoblede husstande</t>
  </si>
  <si>
    <r>
      <t>Investeringsbehov for boringspar</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scheme val="minor"/>
      </rPr>
      <t>3</t>
    </r>
    <r>
      <rPr>
        <sz val="11"/>
        <color theme="1"/>
        <rFont val="Calibri"/>
        <family val="2"/>
        <scheme val="minor"/>
      </rPr>
      <t>:</t>
    </r>
  </si>
  <si>
    <r>
      <t>Investeringsbehov for Infrastruktur</t>
    </r>
    <r>
      <rPr>
        <vertAlign val="superscript"/>
        <sz val="11"/>
        <color theme="1"/>
        <rFont val="Calibri"/>
        <family val="2"/>
        <scheme val="minor"/>
      </rPr>
      <t>2</t>
    </r>
    <r>
      <rPr>
        <sz val="11"/>
        <color theme="1"/>
        <rFont val="Calibri"/>
        <family val="2"/>
        <scheme val="minor"/>
      </rPr>
      <t>:</t>
    </r>
  </si>
  <si>
    <r>
      <t>Investeringsbehov for rådgivning</t>
    </r>
    <r>
      <rPr>
        <vertAlign val="superscript"/>
        <sz val="11"/>
        <color theme="1"/>
        <rFont val="Calibri"/>
        <family val="2"/>
        <scheme val="minor"/>
      </rPr>
      <t>5</t>
    </r>
    <r>
      <rPr>
        <sz val="11"/>
        <color theme="1"/>
        <rFont val="Calibri"/>
        <family val="2"/>
        <scheme val="minor"/>
      </rPr>
      <t>:</t>
    </r>
  </si>
  <si>
    <t>Energibesparelse &amp; andet tilskud:</t>
  </si>
  <si>
    <t>Link til rapport om samtidighedsfaktor (pkt. 2)</t>
  </si>
  <si>
    <t>Visualisering af tæthedskategorier:</t>
  </si>
  <si>
    <t>Lånerente</t>
  </si>
  <si>
    <t>(pr. år)</t>
  </si>
  <si>
    <t>Årlig ydelse pr. år - excl. VP</t>
  </si>
  <si>
    <t>Årlig ydelse pr. år - excl. VP pr. husstand</t>
  </si>
  <si>
    <t>Byens eksisterende udgifter:</t>
  </si>
  <si>
    <t>Varmepriser - inkl. Virkningsgrad (nettopriser):</t>
  </si>
  <si>
    <t>Oliepris</t>
  </si>
  <si>
    <t>Gaspris</t>
  </si>
  <si>
    <t>Træpillepris</t>
  </si>
  <si>
    <t>Varmepumper med ATES</t>
  </si>
  <si>
    <t>Nuværende udgifter for deltagende husstande</t>
  </si>
  <si>
    <t>Data for tæthedskategorier</t>
  </si>
  <si>
    <t>enhed</t>
  </si>
  <si>
    <t>Sum af deltagende husstande</t>
  </si>
  <si>
    <t>Rørgrav</t>
  </si>
  <si>
    <t>Hovedrør</t>
  </si>
  <si>
    <t>COP for VP med ATES</t>
  </si>
  <si>
    <t>COP</t>
  </si>
  <si>
    <t>Stikledning</t>
  </si>
  <si>
    <t>Årlig eludgift for deltagende husstande</t>
  </si>
  <si>
    <t>Årlig besparelse for deltagende husstande efter afskrivning</t>
  </si>
  <si>
    <t>Årlig besparelse for deltagende husstande efter afskrivning pr. husstand</t>
  </si>
  <si>
    <t>CO2 Regnskab</t>
  </si>
  <si>
    <t>CO2-besparelse</t>
  </si>
  <si>
    <t>Det er kun felter markeret med Grå som der må rettes i</t>
  </si>
  <si>
    <t>Inputdata</t>
  </si>
  <si>
    <t>Værdi</t>
  </si>
  <si>
    <t>Dagens energipriser 2019</t>
  </si>
  <si>
    <t>Alle energipriser er inkl. Moms</t>
  </si>
  <si>
    <t xml:space="preserve">Installationspriser </t>
  </si>
  <si>
    <t>Kr ex moms</t>
  </si>
  <si>
    <t>kilde</t>
  </si>
  <si>
    <t>https://ens.dk/service/fremskrivninger-analyser-modeller/teknologikataloger</t>
  </si>
  <si>
    <t xml:space="preserve">Gns energiforbrug netto </t>
  </si>
  <si>
    <t>kr/kWh</t>
  </si>
  <si>
    <t>ENS teknologikataloget</t>
  </si>
  <si>
    <t>Prisstigning i energipriser</t>
  </si>
  <si>
    <t>%/år</t>
  </si>
  <si>
    <t>Afgiftfritagelse over 4000 kWh</t>
  </si>
  <si>
    <t>Forretning af lån privatøkonomisk</t>
  </si>
  <si>
    <t>Løbetid/levetid</t>
  </si>
  <si>
    <t>Brændselspriser</t>
  </si>
  <si>
    <t>Diskonteringsrente</t>
  </si>
  <si>
    <t>%</t>
  </si>
  <si>
    <t>kr/L olie</t>
  </si>
  <si>
    <t>Moms</t>
  </si>
  <si>
    <t>kr/Nm³</t>
  </si>
  <si>
    <t>Fælles ATES+V/V VP</t>
  </si>
  <si>
    <t>Svarende til indtastet i "Fællesindtastning"</t>
  </si>
  <si>
    <t>Energidata</t>
  </si>
  <si>
    <t xml:space="preserve">omregningsfaktor </t>
  </si>
  <si>
    <t>Enhedspris (Brutto)</t>
  </si>
  <si>
    <t>kWh/L Olie</t>
  </si>
  <si>
    <t>Naturgas</t>
  </si>
  <si>
    <t>kWh/Nm³</t>
  </si>
  <si>
    <t>Træpiller</t>
  </si>
  <si>
    <t>kWh/kg</t>
  </si>
  <si>
    <t>EL</t>
  </si>
  <si>
    <t>kWh/kWh</t>
  </si>
  <si>
    <t>ex moms priser</t>
  </si>
  <si>
    <t>Alternativer</t>
  </si>
  <si>
    <t>Gl oliefyr</t>
  </si>
  <si>
    <t>Gl Gasfyr</t>
  </si>
  <si>
    <t>Nyt Oliefyr</t>
  </si>
  <si>
    <t>Nyt Gasfyr</t>
  </si>
  <si>
    <t>Fælles ATES + V/V VP</t>
  </si>
  <si>
    <t>investering ny varmekilde inkl install ex moms</t>
  </si>
  <si>
    <t>energipris ex moms</t>
  </si>
  <si>
    <t>Eftersyn, fast bidrag ex moms</t>
  </si>
  <si>
    <t>kr/år</t>
  </si>
  <si>
    <t>Drift &amp; vedligehold</t>
  </si>
  <si>
    <t>Netto varmepris</t>
  </si>
  <si>
    <r>
      <t xml:space="preserve">Privatøkonomisk perspektiv i forhold til nuværende opvarmningskilde med </t>
    </r>
    <r>
      <rPr>
        <sz val="16"/>
        <color rgb="FFFF0000"/>
        <rFont val="Calibri"/>
        <family val="2"/>
        <scheme val="minor"/>
      </rPr>
      <t>valgt moms</t>
    </r>
  </si>
  <si>
    <t>investering ny varmekilde</t>
  </si>
  <si>
    <t>energipris inkl afgifter og moms</t>
  </si>
  <si>
    <t xml:space="preserve">Årlig energiprisstigning inkl afgifter </t>
  </si>
  <si>
    <t xml:space="preserve">Energiforbrug brutto </t>
  </si>
  <si>
    <t>kWh/år</t>
  </si>
  <si>
    <t>Eftersyn eller fast bidrag</t>
  </si>
  <si>
    <t>FTE omkostning</t>
  </si>
  <si>
    <t>Energiudgift 1. år ex eftersyn og faste bidrag</t>
  </si>
  <si>
    <t>Omkostninger efter udløb af lån</t>
  </si>
  <si>
    <t xml:space="preserve">Forskel i forhold til oliefyr 1. år </t>
  </si>
  <si>
    <t xml:space="preserve">Forskel i forhold til oliefyr efter udløb af lån </t>
  </si>
  <si>
    <t>Energibesparelse i forhold til gl olie brutto</t>
  </si>
  <si>
    <t>Energibesparelse i forhold til gl gas brutto</t>
  </si>
  <si>
    <r>
      <t>CO</t>
    </r>
    <r>
      <rPr>
        <vertAlign val="subscript"/>
        <sz val="11"/>
        <color theme="1"/>
        <rFont val="Calibri"/>
        <family val="2"/>
        <scheme val="minor"/>
      </rPr>
      <t>2</t>
    </r>
    <r>
      <rPr>
        <sz val="11"/>
        <color theme="1"/>
        <rFont val="Calibri"/>
        <family val="2"/>
        <scheme val="minor"/>
      </rPr>
      <t xml:space="preserve"> indhold pr kWh enhed</t>
    </r>
  </si>
  <si>
    <t>kg/kWh</t>
  </si>
  <si>
    <t>Besparelse i CO2 udledning fra gl oliefyr</t>
  </si>
  <si>
    <t>ton/år</t>
  </si>
  <si>
    <t>Besparelse i CO2 udledning fra gl gasfyr</t>
  </si>
  <si>
    <t>Energiudgift</t>
  </si>
  <si>
    <t>år 1</t>
  </si>
  <si>
    <t>år 2</t>
  </si>
  <si>
    <t>år 3</t>
  </si>
  <si>
    <t>år 4</t>
  </si>
  <si>
    <t>år 5</t>
  </si>
  <si>
    <t>år 6</t>
  </si>
  <si>
    <t>år 7</t>
  </si>
  <si>
    <t>år 8</t>
  </si>
  <si>
    <t>år 9</t>
  </si>
  <si>
    <t>år 10</t>
  </si>
  <si>
    <t>år 11</t>
  </si>
  <si>
    <t>år 12</t>
  </si>
  <si>
    <t>år 13</t>
  </si>
  <si>
    <t>år 14</t>
  </si>
  <si>
    <t>år 15</t>
  </si>
  <si>
    <t>år 16</t>
  </si>
  <si>
    <t>år 17</t>
  </si>
  <si>
    <t>år 18</t>
  </si>
  <si>
    <t>år 19</t>
  </si>
  <si>
    <t>år 20</t>
  </si>
  <si>
    <t>total (år 1-15)</t>
  </si>
  <si>
    <t>kr/levetid</t>
  </si>
  <si>
    <t>eftersyn eller fast bidrag, D&amp;V og FTE</t>
  </si>
  <si>
    <t xml:space="preserve">total </t>
  </si>
  <si>
    <t>Ydelse afdrag + renter over levetid</t>
  </si>
  <si>
    <t>investering + løbende udgifter</t>
  </si>
  <si>
    <t>Nutidsværdibeløb på det enkelte år</t>
  </si>
  <si>
    <t>Nutidsværdibeløb i alt</t>
  </si>
  <si>
    <t>difference mellem nutidsværdibeløb</t>
  </si>
  <si>
    <t>kr</t>
  </si>
  <si>
    <t>energiudgift/brændselsudgift</t>
  </si>
  <si>
    <t>Eftersyn/fast bidrag og D&amp;V</t>
  </si>
  <si>
    <t>Renter</t>
  </si>
  <si>
    <t xml:space="preserve">Investering </t>
  </si>
  <si>
    <t>Nutidsværdi besparelse i forhold til gl oliefyr</t>
  </si>
  <si>
    <t>tons</t>
  </si>
  <si>
    <t>Nutidsværdi besparelse i forhold til gl oliefyr med 20% stigning i energipris på olie, gas og træpiller</t>
  </si>
  <si>
    <t>Nutidsværdibeløb i alt set over 20 år med 20% stigning i energipris på olie, gas og træpiller</t>
  </si>
  <si>
    <t>Ydelse for indtastede husstand</t>
  </si>
  <si>
    <t>Restsum</t>
  </si>
  <si>
    <t>(Alle priser er ekskl. moms)</t>
  </si>
  <si>
    <t>https://ens.dk/sites/ens.dk/files/Analyser/technology_data_catalogue_for_el_and_dh_-_0001.pdf</t>
  </si>
  <si>
    <t>https://www.fm.dk/publikationer/2017/vejledning-i-samfundsoekonomiske-konsekvensvurderinger</t>
  </si>
  <si>
    <t>https://ens.dk/sites/ens.dk/files/Analyser/samfundsoekonomiske_beregningsforudsaetninger_2017_ver_2.pdf</t>
  </si>
  <si>
    <t>Områdets husstande</t>
  </si>
  <si>
    <t xml:space="preserve">Landsbyvarme for </t>
  </si>
  <si>
    <t>Annisse Nord</t>
  </si>
  <si>
    <t>Afskrivningsperiode for projektet lån inkl. Moms for foreningen</t>
  </si>
  <si>
    <t>Projektsum (inkl. Moms) som forening skal afdrage/forrente</t>
  </si>
  <si>
    <t>Årlig drift og vedligeholdelse af fællessystem</t>
  </si>
  <si>
    <t>Fælles ATES + V/V VP efter 15 år</t>
  </si>
  <si>
    <t>Diverse omkostninger</t>
  </si>
  <si>
    <t>kr inkl moms</t>
  </si>
  <si>
    <t>Investering i landsbyvarmekonceptet</t>
  </si>
  <si>
    <t>Løbende driftomkostninger i foreningen</t>
  </si>
  <si>
    <t>Årlig ydelse pr. år pr. husstand inkl VP i år 0 og år 15 og D&amp;V</t>
  </si>
  <si>
    <t>Investering i varmepumpe inkl installation år 0 pr husstand</t>
  </si>
  <si>
    <t>Årlig besparelse for deltagende husstande på brændselsomk.</t>
  </si>
  <si>
    <t>Årlig ydelse pr. år inkl VP i år 0</t>
  </si>
  <si>
    <t>Årlig besparelse for deltagende husstande pr husstand på brændselspris</t>
  </si>
  <si>
    <t>indv. V/V VP</t>
  </si>
  <si>
    <t>indv. L/V VP</t>
  </si>
  <si>
    <t>indv. L/L VP</t>
  </si>
  <si>
    <t>indv.Træpiller</t>
  </si>
  <si>
    <t>total omk. inkl lån/afdrag/energi/D&amp;V i levetiden</t>
  </si>
  <si>
    <t>Årlig nuværende varmeudgift for deltagere: (brændselsomk)</t>
  </si>
  <si>
    <t>Årlig varmeudgift for deltagere med ATES: (el til VP omk.)</t>
  </si>
  <si>
    <t xml:space="preserve">Årlig besparelse af varmeudgift nuv. (brændsel) kontra Landsbyvarme (el til VP) </t>
  </si>
  <si>
    <t>Gennemsnitlig årlig besparelse pr. husstand (inkl. finanseringomk + energiomk)</t>
  </si>
  <si>
    <t>Projektsum pr husstand set over 30 års periode inkl finansering, D&amp;V af fællesanlæg + opsparing til ny VP år 15</t>
  </si>
  <si>
    <t>Renteomkostninger pr husstand set over 30 år</t>
  </si>
  <si>
    <t>Tilslutningsprocent</t>
  </si>
  <si>
    <t>Årsvirkningsgrad (ENS teknologikkatalog)</t>
  </si>
  <si>
    <t xml:space="preserve">indtægter </t>
  </si>
  <si>
    <t>Investeringsbehov for varmepumper år 0:</t>
  </si>
  <si>
    <t>investeringer år 0</t>
  </si>
  <si>
    <t xml:space="preserve">Hovedstol til optagelse af lån </t>
  </si>
  <si>
    <t>Udgifter jf fællesindtastningark for deltagende husstande</t>
  </si>
  <si>
    <t xml:space="preserve">Total omkostning pr år </t>
  </si>
  <si>
    <t xml:space="preserve">Balance </t>
  </si>
  <si>
    <t>Sum 30 år</t>
  </si>
  <si>
    <t>Total omkostning til drift og vedligeholdelse af fællesanlæg + opsparring til VP år 15</t>
  </si>
  <si>
    <t>Akkumuleret kassebeholdning</t>
  </si>
  <si>
    <t>Udgift til nye varmepumper i år 15 og 30</t>
  </si>
  <si>
    <t>kategori 1</t>
  </si>
  <si>
    <t>Projektpris</t>
  </si>
  <si>
    <t>kategori 2</t>
  </si>
  <si>
    <t>kategori 3</t>
  </si>
  <si>
    <t>alle priser er inkl moms</t>
  </si>
  <si>
    <t>tilslutningsprocent af max kapacitet for anlæg + boringer</t>
  </si>
  <si>
    <t>Middel</t>
  </si>
  <si>
    <t>Årlig omk. alt inkl</t>
  </si>
  <si>
    <t>alle kategorier</t>
  </si>
  <si>
    <t>procentvis fordeling</t>
  </si>
  <si>
    <t>Selsskabsøkonomi ex moms</t>
  </si>
  <si>
    <t>Dim. Varmebehov (-12°C) (Netto)</t>
  </si>
  <si>
    <r>
      <t>Dim. Varmebehov (-12°C) inkl. Sam. Faktor</t>
    </r>
    <r>
      <rPr>
        <vertAlign val="superscript"/>
        <sz val="11"/>
        <color theme="1"/>
        <rFont val="Calibri"/>
        <family val="2"/>
        <scheme val="minor"/>
      </rPr>
      <t>1</t>
    </r>
    <r>
      <rPr>
        <sz val="11"/>
        <color theme="1"/>
        <rFont val="Calibri"/>
        <family val="2"/>
        <scheme val="minor"/>
      </rPr>
      <t xml:space="preserve"> (Netto)</t>
    </r>
  </si>
  <si>
    <t>områdets husstande</t>
  </si>
  <si>
    <t>Samfundsøkonomiske beregninger</t>
  </si>
  <si>
    <t>Investeringsbehov for boringspar1 3:</t>
  </si>
  <si>
    <t>Investeringsbehov for Infrastruktur2:</t>
  </si>
  <si>
    <t>Investeringsbehov for rådgivning5:</t>
  </si>
  <si>
    <t>Opsparing til nye varmepumper i år 15  år8:</t>
  </si>
  <si>
    <t xml:space="preserve">Links til samfundsøkonomiske forudsætninger </t>
  </si>
  <si>
    <t>Eksempel på samfundsøkonomisk beregning udarbejdet af NIRAS April 2019 for et tilsvarende landsbyvarmeprojekt kontra alm fjernvarme</t>
  </si>
  <si>
    <t>https://www.veks.dk/da/service/samfundsoekonomi</t>
  </si>
  <si>
    <t>I forbindelse med projektansøgning til kommunen skal der laves en samfundsøkonomisk beregning jf energistyrelsen vejledning. Der er parallelt med dette EL-forsk projekt blevet udarbejdet en samfundsøkonomisk beregning af en uvildig rådgiver. Den samfundsøkonomisk beregning er lavet med landsbyvarme med ATES sammenlignet med et referenceprojekt med traditionel fjernvarmeværk med en biokedel og højtemperaturrør i jorden. Denne viste en positiv samfundøkonomi. Da forudsætningerne for værdier mm løbende ændres henvises der til en uvildig rådgiver som kan lave en samfundsøkonomisk beregning for Jer når I kommer så langt. Nedenstående er priser, som skal bruges i forbindelse med en samfundsøkonomisk beregning. Umiddelbart kan det være svært at få en positiv samfundsøkonomi med de priser man er pålagt at bruge i eksisternde naturgasområder.  Normalt koster det mellem 20.000-50.000 kr at få lavet en samfundsøkonomisk beregning af en uvildig rådgiver</t>
  </si>
  <si>
    <t>Investeringssum total pr husstand</t>
  </si>
  <si>
    <t xml:space="preserve">Tilslutningsbidrag for tilkoblede husstande pr husstand </t>
  </si>
  <si>
    <t>Investeringsbehov for boringspar pr husstand</t>
  </si>
  <si>
    <t>Investeringsbehov for Infrastruktur pr husstand</t>
  </si>
  <si>
    <t>Investeringsbehov for varmepumper år 0 pr husstand</t>
  </si>
  <si>
    <t>Investeringsbehov for rådgivning pr husstand</t>
  </si>
  <si>
    <t>Energibesparelse &amp; andet tilskud pr husstand</t>
  </si>
  <si>
    <t>CO2 udledning</t>
  </si>
  <si>
    <t>landsby</t>
  </si>
  <si>
    <t>Regstrup</t>
  </si>
  <si>
    <t>Sdr. Stenderup</t>
  </si>
  <si>
    <t>Indslev</t>
  </si>
  <si>
    <t>olie</t>
  </si>
  <si>
    <t>gas</t>
  </si>
  <si>
    <t>bio</t>
  </si>
  <si>
    <t>VP</t>
  </si>
  <si>
    <t>elvarme</t>
  </si>
  <si>
    <t>fjv</t>
  </si>
  <si>
    <t>Egen landsby</t>
  </si>
  <si>
    <t>Egen Landsby</t>
  </si>
  <si>
    <t>Caselandsby</t>
  </si>
  <si>
    <t>Elpris inkl moms og afgifter</t>
  </si>
  <si>
    <t>m/husstand</t>
  </si>
  <si>
    <t>Beregnet total omkostning til drift og vedligeholdelse af fællesanlæg + opsparring til VP år 15</t>
  </si>
  <si>
    <t xml:space="preserve">Beregnet ydelse pr husstand til drift og vedligeholdelse </t>
  </si>
  <si>
    <t>Egen indtastning: Total omkostning til drift og vedligeholdelse af fællesanlæg + opsparring til VP år 15</t>
  </si>
  <si>
    <t xml:space="preserve">Beregnet projektsum pr husstand </t>
  </si>
  <si>
    <t>kr/husstand</t>
  </si>
  <si>
    <t>Udnyttelsesgrad af grundvandsboringernes kapacitet</t>
  </si>
  <si>
    <t>Opsparing til nye varmepumper i år 15 og 30</t>
  </si>
  <si>
    <t>Investering i ny varmepumpe efter hvert 15 år pr husstand</t>
  </si>
  <si>
    <t>Årlig omkostning med Landsbyvarme alt inkl. Fast bidrag, Drift og vedligeholdelse, elforbrug</t>
  </si>
  <si>
    <t>kr./år gns.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</si>
</sst>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kr.&quot;;[Red]\-#,##0.00\ &quot;kr.&quot;"/>
    <numFmt numFmtId="164" formatCode="0.0"/>
    <numFmt numFmtId="165" formatCode="0.0%"/>
    <numFmt numFmtId="166" formatCode="_ * #,##0.00_ ;_ * \-#,##0.00_ ;_ * &quot;-&quot;??_ ;_ @_ "/>
    <numFmt numFmtId="167" formatCode="_ * #,##0_ ;_ * \-#,##0_ ;_ * &quot;-&quot;??_ ;_ @_ "/>
    <numFmt numFmtId="168" formatCode="_ * #,##0.000_ ;_ * \-#,##0.000_ ;_ * &quot;-&quot;??_ ;_ @_ "/>
    <numFmt numFmtId="169" formatCode="_ * #,##0.0_ ;_ * \-#,##0.0_ ;_ * &quot;-&quot;??_ ;_ @_ "/>
    <numFmt numFmtId="170" formatCode="#,##0;[Red]#,##0"/>
    <numFmt numFmtId="171" formatCode="#,##0_ ;\-#,##0\ "/>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8"/>
      <color theme="1"/>
      <name val="Calibri"/>
      <family val="2"/>
      <scheme val="minor"/>
    </font>
    <font>
      <sz val="11"/>
      <name val="Arial"/>
      <family val="2"/>
    </font>
    <font>
      <vertAlign val="superscript"/>
      <sz val="11"/>
      <color theme="1"/>
      <name val="Calibri"/>
      <family val="2"/>
      <scheme val="minor"/>
    </font>
    <font>
      <u/>
      <sz val="10"/>
      <color theme="10"/>
      <name val="Arial"/>
      <family val="2"/>
    </font>
    <font>
      <sz val="11"/>
      <name val="Calibri"/>
      <family val="2"/>
      <scheme val="minor"/>
    </font>
    <font>
      <sz val="9"/>
      <color indexed="81"/>
      <name val="Tahoma"/>
      <family val="2"/>
    </font>
    <font>
      <b/>
      <sz val="9"/>
      <color indexed="81"/>
      <name val="Tahoma"/>
      <family val="2"/>
    </font>
    <font>
      <b/>
      <sz val="18"/>
      <color theme="0"/>
      <name val="Calibri"/>
      <family val="2"/>
      <scheme val="minor"/>
    </font>
    <font>
      <b/>
      <sz val="14"/>
      <color theme="1"/>
      <name val="Calibri"/>
      <family val="2"/>
      <scheme val="minor"/>
    </font>
    <font>
      <b/>
      <u/>
      <sz val="11"/>
      <color theme="1"/>
      <name val="Calibri"/>
      <family val="2"/>
      <scheme val="minor"/>
    </font>
    <font>
      <b/>
      <sz val="16"/>
      <color rgb="FFFF0000"/>
      <name val="Calibri"/>
      <family val="2"/>
      <scheme val="minor"/>
    </font>
    <font>
      <sz val="16"/>
      <color rgb="FFFF0000"/>
      <name val="Calibri"/>
      <family val="2"/>
      <scheme val="minor"/>
    </font>
    <font>
      <vertAlign val="subscript"/>
      <sz val="11"/>
      <color theme="1"/>
      <name val="Calibri"/>
      <family val="2"/>
      <scheme val="minor"/>
    </font>
    <font>
      <b/>
      <sz val="16"/>
      <name val="Calibri"/>
      <family val="2"/>
      <scheme val="minor"/>
    </font>
    <font>
      <sz val="11"/>
      <color rgb="FF00B050"/>
      <name val="Calibri"/>
      <family val="2"/>
      <scheme val="minor"/>
    </font>
    <font>
      <sz val="12"/>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bgColor theme="9"/>
      </patternFill>
    </fill>
    <fill>
      <patternFill patternType="solid">
        <fgColor theme="9" tint="0.59999389629810485"/>
        <bgColor indexed="64"/>
      </patternFill>
    </fill>
    <fill>
      <patternFill patternType="solid">
        <fgColor theme="9" tint="0.59999389629810485"/>
        <bgColor theme="9" tint="0.59999389629810485"/>
      </patternFill>
    </fill>
    <fill>
      <patternFill patternType="solid">
        <fgColor theme="9" tint="0.79998168889431442"/>
        <bgColor indexed="64"/>
      </patternFill>
    </fill>
    <fill>
      <patternFill patternType="solid">
        <fgColor theme="9" tint="0.79998168889431442"/>
        <bgColor theme="9" tint="0.79998168889431442"/>
      </patternFill>
    </fill>
    <fill>
      <patternFill patternType="solid">
        <fgColor rgb="FF92D050"/>
        <bgColor indexed="64"/>
      </patternFill>
    </fill>
    <fill>
      <patternFill patternType="solid">
        <fgColor theme="9" tint="-0.249977111117893"/>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166"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 fillId="0" borderId="0"/>
  </cellStyleXfs>
  <cellXfs count="165">
    <xf numFmtId="0" fontId="0" fillId="0" borderId="0" xfId="0"/>
    <xf numFmtId="0" fontId="4" fillId="2" borderId="1" xfId="0" applyFont="1" applyFill="1" applyBorder="1"/>
    <xf numFmtId="0" fontId="0" fillId="2" borderId="2" xfId="0" applyFill="1" applyBorder="1"/>
    <xf numFmtId="0" fontId="0" fillId="2" borderId="3" xfId="0" applyFill="1" applyBorder="1"/>
    <xf numFmtId="0" fontId="5" fillId="0" borderId="0" xfId="0" applyFont="1" applyAlignment="1">
      <alignment horizontal="center"/>
    </xf>
    <xf numFmtId="0" fontId="3" fillId="0" borderId="0" xfId="0" applyFont="1"/>
    <xf numFmtId="0" fontId="3" fillId="0" borderId="4" xfId="0" applyFont="1" applyBorder="1"/>
    <xf numFmtId="0" fontId="0" fillId="0" borderId="5" xfId="0" applyBorder="1"/>
    <xf numFmtId="0" fontId="0" fillId="0" borderId="6" xfId="0" applyBorder="1"/>
    <xf numFmtId="0" fontId="0" fillId="2" borderId="0" xfId="0" applyFill="1"/>
    <xf numFmtId="0" fontId="0" fillId="0" borderId="7" xfId="0" applyBorder="1" applyAlignment="1">
      <alignment vertical="center"/>
    </xf>
    <xf numFmtId="3" fontId="0" fillId="0" borderId="0" xfId="0" applyNumberFormat="1" applyBorder="1" applyAlignment="1">
      <alignment vertical="center"/>
    </xf>
    <xf numFmtId="0" fontId="0" fillId="0" borderId="8" xfId="0" applyBorder="1" applyAlignment="1">
      <alignment vertical="center"/>
    </xf>
    <xf numFmtId="0" fontId="0" fillId="0" borderId="0" xfId="0" applyAlignment="1">
      <alignment vertical="center"/>
    </xf>
    <xf numFmtId="1" fontId="0" fillId="0" borderId="0" xfId="0" applyNumberFormat="1" applyFont="1" applyFill="1" applyBorder="1" applyAlignment="1">
      <alignment horizontal="right" vertical="center"/>
    </xf>
    <xf numFmtId="1" fontId="0" fillId="2" borderId="0" xfId="0" applyNumberFormat="1" applyFill="1"/>
    <xf numFmtId="0" fontId="0" fillId="0" borderId="11" xfId="0" applyBorder="1" applyAlignment="1">
      <alignment vertical="center"/>
    </xf>
    <xf numFmtId="0" fontId="0" fillId="0" borderId="0" xfId="0" applyFill="1"/>
    <xf numFmtId="164" fontId="0" fillId="0" borderId="0" xfId="0" applyNumberFormat="1"/>
    <xf numFmtId="0" fontId="0" fillId="0" borderId="0" xfId="0" applyAlignment="1">
      <alignment horizontal="left"/>
    </xf>
    <xf numFmtId="9" fontId="0" fillId="0" borderId="0" xfId="0" applyNumberFormat="1"/>
    <xf numFmtId="0" fontId="0" fillId="3" borderId="0" xfId="0" applyFill="1" applyAlignment="1">
      <alignment vertical="center"/>
    </xf>
    <xf numFmtId="1" fontId="1" fillId="0" borderId="0" xfId="4" applyNumberFormat="1"/>
    <xf numFmtId="3" fontId="0" fillId="0" borderId="0" xfId="0" applyNumberFormat="1"/>
    <xf numFmtId="0" fontId="0" fillId="2" borderId="0" xfId="0" applyNumberFormat="1" applyFill="1"/>
    <xf numFmtId="0" fontId="0" fillId="2" borderId="0" xfId="0" applyFill="1" applyAlignment="1">
      <alignment horizontal="right"/>
    </xf>
    <xf numFmtId="0" fontId="1" fillId="0" borderId="0" xfId="4"/>
    <xf numFmtId="3" fontId="0" fillId="2" borderId="0" xfId="0" applyNumberFormat="1" applyFill="1" applyAlignment="1">
      <alignment horizontal="right"/>
    </xf>
    <xf numFmtId="1" fontId="0" fillId="0" borderId="0" xfId="0" applyNumberFormat="1"/>
    <xf numFmtId="0" fontId="7" fillId="0" borderId="0" xfId="3" applyAlignment="1"/>
    <xf numFmtId="0" fontId="0" fillId="0" borderId="0" xfId="0" applyAlignment="1">
      <alignment horizontal="right"/>
    </xf>
    <xf numFmtId="1" fontId="0" fillId="0" borderId="0" xfId="0" applyNumberFormat="1" applyAlignment="1">
      <alignment vertical="center"/>
    </xf>
    <xf numFmtId="2" fontId="0" fillId="0" borderId="0" xfId="0" applyNumberFormat="1"/>
    <xf numFmtId="0" fontId="0" fillId="0" borderId="0" xfId="0" applyFont="1"/>
    <xf numFmtId="0" fontId="7" fillId="0" borderId="0" xfId="3" applyAlignment="1">
      <alignment vertical="center"/>
    </xf>
    <xf numFmtId="3" fontId="3" fillId="0" borderId="0" xfId="0" applyNumberFormat="1" applyFont="1"/>
    <xf numFmtId="8" fontId="0" fillId="0" borderId="0" xfId="0" applyNumberFormat="1"/>
    <xf numFmtId="0" fontId="3" fillId="0" borderId="12" xfId="0" applyFont="1" applyBorder="1"/>
    <xf numFmtId="165" fontId="0" fillId="0" borderId="0" xfId="2" applyNumberFormat="1" applyFont="1"/>
    <xf numFmtId="165" fontId="0" fillId="2" borderId="0" xfId="2" applyNumberFormat="1" applyFont="1" applyFill="1" applyAlignment="1">
      <alignment horizontal="right"/>
    </xf>
    <xf numFmtId="8" fontId="8" fillId="0" borderId="0" xfId="0" applyNumberFormat="1" applyFont="1"/>
    <xf numFmtId="0" fontId="0" fillId="0" borderId="0" xfId="0" applyAlignment="1">
      <alignment wrapText="1"/>
    </xf>
    <xf numFmtId="0" fontId="12" fillId="0" borderId="0" xfId="0" applyFont="1"/>
    <xf numFmtId="0" fontId="7" fillId="0" borderId="0" xfId="3"/>
    <xf numFmtId="1" fontId="0" fillId="4" borderId="0" xfId="0" applyNumberFormat="1" applyFill="1"/>
    <xf numFmtId="0" fontId="0" fillId="4" borderId="5" xfId="0" applyFill="1" applyBorder="1"/>
    <xf numFmtId="167" fontId="0" fillId="0" borderId="0" xfId="1" applyNumberFormat="1" applyFont="1" applyFill="1"/>
    <xf numFmtId="9" fontId="0" fillId="4" borderId="0" xfId="2" applyFont="1" applyFill="1"/>
    <xf numFmtId="0" fontId="3" fillId="0" borderId="7" xfId="0" applyFont="1" applyBorder="1"/>
    <xf numFmtId="0" fontId="0" fillId="0" borderId="0" xfId="0" applyBorder="1"/>
    <xf numFmtId="2" fontId="0" fillId="4" borderId="0" xfId="0" applyNumberFormat="1" applyFill="1" applyBorder="1"/>
    <xf numFmtId="0" fontId="0" fillId="0" borderId="8" xfId="0" applyBorder="1"/>
    <xf numFmtId="0" fontId="0" fillId="0" borderId="7" xfId="0" applyBorder="1"/>
    <xf numFmtId="167" fontId="0" fillId="0" borderId="0" xfId="1" quotePrefix="1" applyNumberFormat="1" applyFont="1" applyFill="1"/>
    <xf numFmtId="0" fontId="0" fillId="4" borderId="0" xfId="0" applyFill="1"/>
    <xf numFmtId="0" fontId="13" fillId="0" borderId="7" xfId="0" applyFont="1" applyBorder="1"/>
    <xf numFmtId="0" fontId="0" fillId="4" borderId="0" xfId="0" applyFill="1" applyBorder="1"/>
    <xf numFmtId="167" fontId="8" fillId="0" borderId="0" xfId="1" applyNumberFormat="1" applyFont="1" applyFill="1"/>
    <xf numFmtId="9" fontId="0" fillId="0" borderId="0" xfId="2" applyFont="1" applyFill="1"/>
    <xf numFmtId="0" fontId="3" fillId="0" borderId="9" xfId="0" applyFont="1" applyBorder="1"/>
    <xf numFmtId="0" fontId="0" fillId="0" borderId="10" xfId="0" applyBorder="1"/>
    <xf numFmtId="0" fontId="0" fillId="0" borderId="11" xfId="0" applyBorder="1"/>
    <xf numFmtId="2" fontId="0" fillId="0" borderId="0" xfId="0" applyNumberFormat="1" applyBorder="1"/>
    <xf numFmtId="2" fontId="0" fillId="0" borderId="7" xfId="0" applyNumberFormat="1" applyBorder="1"/>
    <xf numFmtId="0" fontId="0" fillId="0" borderId="9" xfId="0" applyBorder="1"/>
    <xf numFmtId="2" fontId="0" fillId="0" borderId="10" xfId="0" applyNumberFormat="1" applyBorder="1"/>
    <xf numFmtId="0" fontId="14" fillId="0" borderId="0" xfId="0" applyFont="1"/>
    <xf numFmtId="0" fontId="2" fillId="5" borderId="0" xfId="0" applyFont="1" applyFill="1" applyBorder="1"/>
    <xf numFmtId="0" fontId="2" fillId="5" borderId="13" xfId="0" applyFont="1" applyFill="1" applyBorder="1"/>
    <xf numFmtId="0" fontId="0" fillId="6" borderId="14" xfId="0" applyFont="1" applyFill="1" applyBorder="1"/>
    <xf numFmtId="167" fontId="0" fillId="0" borderId="15" xfId="1" applyNumberFormat="1" applyFont="1" applyFill="1" applyBorder="1"/>
    <xf numFmtId="0" fontId="0" fillId="7" borderId="15" xfId="0" applyFont="1" applyFill="1" applyBorder="1"/>
    <xf numFmtId="0" fontId="0" fillId="8" borderId="16" xfId="0" applyFont="1" applyFill="1" applyBorder="1"/>
    <xf numFmtId="0" fontId="0" fillId="0" borderId="17" xfId="0" applyFont="1" applyFill="1" applyBorder="1"/>
    <xf numFmtId="2" fontId="0" fillId="0" borderId="17" xfId="0" applyNumberFormat="1" applyFont="1" applyFill="1" applyBorder="1"/>
    <xf numFmtId="0" fontId="0" fillId="9" borderId="17" xfId="0" applyFont="1" applyFill="1" applyBorder="1"/>
    <xf numFmtId="0" fontId="0" fillId="6" borderId="16" xfId="0" applyFont="1" applyFill="1" applyBorder="1"/>
    <xf numFmtId="167" fontId="0" fillId="4" borderId="17" xfId="1" applyNumberFormat="1" applyFont="1" applyFill="1" applyBorder="1"/>
    <xf numFmtId="0" fontId="0" fillId="7" borderId="17" xfId="0" applyFont="1" applyFill="1" applyBorder="1"/>
    <xf numFmtId="0" fontId="0" fillId="9" borderId="16" xfId="0" applyFont="1" applyFill="1" applyBorder="1"/>
    <xf numFmtId="0" fontId="0" fillId="4" borderId="17" xfId="0" applyFont="1" applyFill="1" applyBorder="1"/>
    <xf numFmtId="0" fontId="0" fillId="6" borderId="0" xfId="0" applyFont="1" applyFill="1" applyBorder="1"/>
    <xf numFmtId="0" fontId="0" fillId="7" borderId="13" xfId="0" applyFont="1" applyFill="1" applyBorder="1"/>
    <xf numFmtId="0" fontId="0" fillId="0" borderId="0" xfId="0" applyAlignment="1"/>
    <xf numFmtId="167" fontId="0" fillId="6" borderId="15" xfId="1" applyNumberFormat="1" applyFont="1" applyFill="1" applyBorder="1"/>
    <xf numFmtId="0" fontId="0" fillId="8" borderId="17" xfId="0" applyFont="1" applyFill="1" applyBorder="1"/>
    <xf numFmtId="0" fontId="0" fillId="6" borderId="17" xfId="0" applyFont="1" applyFill="1" applyBorder="1"/>
    <xf numFmtId="2" fontId="0" fillId="6" borderId="17" xfId="0" applyNumberFormat="1" applyFont="1" applyFill="1" applyBorder="1"/>
    <xf numFmtId="9" fontId="0" fillId="9" borderId="17" xfId="0" applyNumberFormat="1" applyFont="1" applyFill="1" applyBorder="1"/>
    <xf numFmtId="0" fontId="0" fillId="7" borderId="16" xfId="0" applyFont="1" applyFill="1" applyBorder="1"/>
    <xf numFmtId="167" fontId="0" fillId="7" borderId="17" xfId="1" applyNumberFormat="1" applyFont="1" applyFill="1" applyBorder="1"/>
    <xf numFmtId="167" fontId="0" fillId="9" borderId="17" xfId="1" applyNumberFormat="1" applyFont="1" applyFill="1" applyBorder="1"/>
    <xf numFmtId="167" fontId="0" fillId="6" borderId="17" xfId="1" applyNumberFormat="1" applyFont="1" applyFill="1" applyBorder="1"/>
    <xf numFmtId="167" fontId="0" fillId="8" borderId="17" xfId="1" applyNumberFormat="1" applyFont="1" applyFill="1" applyBorder="1"/>
    <xf numFmtId="167" fontId="0" fillId="9" borderId="17" xfId="0" applyNumberFormat="1" applyFont="1" applyFill="1" applyBorder="1"/>
    <xf numFmtId="167" fontId="0" fillId="7" borderId="17" xfId="0" applyNumberFormat="1" applyFont="1" applyFill="1" applyBorder="1"/>
    <xf numFmtId="168" fontId="0" fillId="7" borderId="17" xfId="0" applyNumberFormat="1" applyFont="1" applyFill="1" applyBorder="1"/>
    <xf numFmtId="169" fontId="0" fillId="9" borderId="17" xfId="0" applyNumberFormat="1" applyFont="1" applyFill="1" applyBorder="1"/>
    <xf numFmtId="169" fontId="0" fillId="7" borderId="17" xfId="0" applyNumberFormat="1" applyFont="1" applyFill="1" applyBorder="1"/>
    <xf numFmtId="167" fontId="0" fillId="0" borderId="0" xfId="0" applyNumberFormat="1"/>
    <xf numFmtId="167" fontId="0" fillId="0" borderId="0" xfId="1" applyNumberFormat="1" applyFont="1"/>
    <xf numFmtId="167" fontId="3" fillId="0" borderId="0" xfId="1" applyNumberFormat="1" applyFont="1"/>
    <xf numFmtId="167" fontId="3" fillId="0" borderId="0" xfId="0" applyNumberFormat="1" applyFont="1"/>
    <xf numFmtId="0" fontId="0" fillId="0" borderId="0" xfId="0" applyAlignment="1">
      <alignment horizontal="left" vertical="center"/>
    </xf>
    <xf numFmtId="0" fontId="17" fillId="10" borderId="0" xfId="0" applyFont="1" applyFill="1"/>
    <xf numFmtId="167" fontId="3" fillId="10" borderId="0" xfId="0" applyNumberFormat="1" applyFont="1" applyFill="1"/>
    <xf numFmtId="0" fontId="0" fillId="10" borderId="0" xfId="0" applyFill="1"/>
    <xf numFmtId="0" fontId="3" fillId="0" borderId="18" xfId="0" applyFont="1" applyBorder="1"/>
    <xf numFmtId="0" fontId="0" fillId="0" borderId="18" xfId="0" applyBorder="1"/>
    <xf numFmtId="170" fontId="18" fillId="0" borderId="18" xfId="0" applyNumberFormat="1" applyFont="1" applyBorder="1"/>
    <xf numFmtId="0" fontId="3" fillId="11" borderId="4" xfId="0" applyFont="1" applyFill="1" applyBorder="1"/>
    <xf numFmtId="0" fontId="3" fillId="11" borderId="5" xfId="0" applyFont="1" applyFill="1" applyBorder="1"/>
    <xf numFmtId="0" fontId="3" fillId="11" borderId="6" xfId="0" applyFont="1" applyFill="1" applyBorder="1"/>
    <xf numFmtId="0" fontId="0" fillId="0" borderId="19" xfId="0" applyBorder="1"/>
    <xf numFmtId="167" fontId="0" fillId="0" borderId="18" xfId="0" applyNumberFormat="1" applyBorder="1"/>
    <xf numFmtId="0" fontId="0" fillId="0" borderId="20" xfId="0" applyBorder="1"/>
    <xf numFmtId="167" fontId="0" fillId="0" borderId="18" xfId="1" applyNumberFormat="1" applyFont="1" applyBorder="1"/>
    <xf numFmtId="171" fontId="0" fillId="0" borderId="18" xfId="1" applyNumberFormat="1" applyFont="1" applyBorder="1"/>
    <xf numFmtId="0" fontId="0" fillId="10" borderId="19" xfId="0" applyFill="1" applyBorder="1"/>
    <xf numFmtId="167" fontId="0" fillId="10" borderId="18" xfId="1" applyNumberFormat="1" applyFont="1" applyFill="1" applyBorder="1"/>
    <xf numFmtId="0" fontId="0" fillId="10" borderId="20" xfId="0" applyFill="1" applyBorder="1"/>
    <xf numFmtId="0" fontId="0" fillId="0" borderId="19" xfId="0" applyFill="1" applyBorder="1"/>
    <xf numFmtId="169" fontId="0" fillId="0" borderId="18" xfId="1" applyNumberFormat="1" applyFont="1" applyBorder="1"/>
    <xf numFmtId="0" fontId="0" fillId="10" borderId="21" xfId="0" applyFill="1" applyBorder="1"/>
    <xf numFmtId="167" fontId="0" fillId="10" borderId="22" xfId="1" applyNumberFormat="1" applyFont="1" applyFill="1" applyBorder="1"/>
    <xf numFmtId="0" fontId="0" fillId="10" borderId="23" xfId="0" applyFill="1" applyBorder="1"/>
    <xf numFmtId="167" fontId="0" fillId="0" borderId="0" xfId="1" applyNumberFormat="1" applyFont="1" applyBorder="1"/>
    <xf numFmtId="0" fontId="0" fillId="0" borderId="0" xfId="0" applyFill="1" applyBorder="1"/>
    <xf numFmtId="9" fontId="0" fillId="0" borderId="0" xfId="2" applyFont="1"/>
    <xf numFmtId="3" fontId="0" fillId="0" borderId="0" xfId="0" applyNumberFormat="1" applyFont="1"/>
    <xf numFmtId="9" fontId="0" fillId="0" borderId="0" xfId="2" applyFont="1" applyFill="1" applyAlignment="1"/>
    <xf numFmtId="167" fontId="0" fillId="2" borderId="0" xfId="1" applyNumberFormat="1" applyFont="1" applyFill="1"/>
    <xf numFmtId="0" fontId="3" fillId="2" borderId="0" xfId="0" applyFont="1" applyFill="1"/>
    <xf numFmtId="9" fontId="0" fillId="2" borderId="0" xfId="2" applyFont="1" applyFill="1"/>
    <xf numFmtId="0" fontId="3" fillId="0" borderId="0" xfId="0" applyFont="1" applyBorder="1"/>
    <xf numFmtId="0" fontId="4" fillId="0" borderId="0" xfId="0" applyFont="1" applyFill="1" applyBorder="1"/>
    <xf numFmtId="0" fontId="19"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0" fillId="0" borderId="0" xfId="0" applyFont="1" applyFill="1" applyBorder="1"/>
    <xf numFmtId="9" fontId="0" fillId="0" borderId="0" xfId="2" applyFont="1" applyAlignment="1">
      <alignment horizontal="right"/>
    </xf>
    <xf numFmtId="0" fontId="20" fillId="0" borderId="0" xfId="0" applyFont="1"/>
    <xf numFmtId="0" fontId="0" fillId="0" borderId="0" xfId="4" applyFont="1"/>
    <xf numFmtId="0" fontId="0" fillId="0" borderId="0" xfId="4" applyFont="1" applyFill="1"/>
    <xf numFmtId="1" fontId="0" fillId="0" borderId="0" xfId="0" applyNumberFormat="1" applyFill="1"/>
    <xf numFmtId="0" fontId="4" fillId="2" borderId="2" xfId="0" applyFont="1" applyFill="1" applyBorder="1"/>
    <xf numFmtId="2" fontId="8" fillId="0" borderId="10" xfId="0" applyNumberFormat="1" applyFont="1" applyFill="1" applyBorder="1"/>
    <xf numFmtId="0" fontId="0" fillId="0" borderId="18" xfId="0" applyBorder="1" applyAlignment="1">
      <alignment horizontal="right"/>
    </xf>
    <xf numFmtId="3" fontId="3" fillId="12" borderId="0" xfId="0" applyNumberFormat="1" applyFont="1" applyFill="1"/>
    <xf numFmtId="3" fontId="3" fillId="0" borderId="0" xfId="0" applyNumberFormat="1" applyFont="1" applyFill="1"/>
    <xf numFmtId="9" fontId="3" fillId="0" borderId="0" xfId="2" applyFont="1"/>
    <xf numFmtId="0" fontId="0" fillId="0" borderId="8" xfId="0" applyFill="1" applyBorder="1" applyAlignment="1">
      <alignment vertical="center"/>
    </xf>
    <xf numFmtId="9" fontId="0" fillId="0" borderId="0" xfId="0" applyNumberFormat="1" applyBorder="1"/>
    <xf numFmtId="3" fontId="0" fillId="0" borderId="0" xfId="0" applyNumberFormat="1" applyBorder="1"/>
    <xf numFmtId="167" fontId="0" fillId="0" borderId="10" xfId="1" applyNumberFormat="1" applyFont="1" applyBorder="1"/>
    <xf numFmtId="0" fontId="11" fillId="4" borderId="0" xfId="0" applyFont="1" applyFill="1" applyAlignment="1">
      <alignment horizontal="center"/>
    </xf>
    <xf numFmtId="0" fontId="0" fillId="0" borderId="4"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9" fillId="0" borderId="0" xfId="0" applyFont="1" applyFill="1" applyBorder="1" applyAlignment="1">
      <alignment horizontal="left" vertical="top" wrapText="1"/>
    </xf>
    <xf numFmtId="0" fontId="4" fillId="0" borderId="0" xfId="0" applyFont="1" applyFill="1" applyBorder="1" applyAlignment="1">
      <alignment horizontal="left" vertical="top" wrapText="1"/>
    </xf>
  </cellXfs>
  <cellStyles count="5">
    <cellStyle name="Komma" xfId="1" builtinId="3"/>
    <cellStyle name="Link" xfId="3" builtinId="8"/>
    <cellStyle name="Normal" xfId="0" builtinId="0"/>
    <cellStyle name="Normale 2" xfId="4" xr:uid="{F1E24C18-1531-476C-8F43-365AF363CE72}"/>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Privatøkonomisk besparelse i forhold til gl oliefyr set over en periode på 15 år</a:t>
            </a:r>
          </a:p>
        </c:rich>
      </c:tx>
      <c:layout>
        <c:manualLayout>
          <c:xMode val="edge"/>
          <c:yMode val="edge"/>
          <c:x val="0.27269991987715841"/>
          <c:y val="3.8282253980550303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7.654338720114405E-2"/>
          <c:y val="0.18965710861882407"/>
          <c:w val="0.90769812087839818"/>
          <c:h val="0.68493682709527248"/>
        </c:manualLayout>
      </c:layout>
      <c:barChart>
        <c:barDir val="col"/>
        <c:grouping val="stacked"/>
        <c:varyColors val="0"/>
        <c:ser>
          <c:idx val="3"/>
          <c:order val="0"/>
          <c:tx>
            <c:v>Investering </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Privatøkonomi!$B$182:$K$182</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Privatøkonomi!$B$186:$K$186</c:f>
              <c:numCache>
                <c:formatCode>_ * #,##0_ ;_ * \-#,##0_ ;_ * "-"??_ ;_ @_ </c:formatCode>
                <c:ptCount val="10"/>
                <c:pt idx="0">
                  <c:v>0</c:v>
                </c:pt>
                <c:pt idx="1">
                  <c:v>0</c:v>
                </c:pt>
                <c:pt idx="2">
                  <c:v>33299.242424242417</c:v>
                </c:pt>
                <c:pt idx="3">
                  <c:v>26244.31818181818</c:v>
                </c:pt>
                <c:pt idx="4">
                  <c:v>126988.63636363634</c:v>
                </c:pt>
                <c:pt idx="5">
                  <c:v>79579.545454545456</c:v>
                </c:pt>
                <c:pt idx="6">
                  <c:v>35980.113636363632</c:v>
                </c:pt>
                <c:pt idx="7">
                  <c:v>57568.181818181809</c:v>
                </c:pt>
                <c:pt idx="8">
                  <c:v>16085.22727272727</c:v>
                </c:pt>
                <c:pt idx="9">
                  <c:v>0</c:v>
                </c:pt>
              </c:numCache>
            </c:numRef>
          </c:val>
          <c:extLst>
            <c:ext xmlns:c16="http://schemas.microsoft.com/office/drawing/2014/chart" uri="{C3380CC4-5D6E-409C-BE32-E72D297353CC}">
              <c16:uniqueId val="{00000000-BE20-44AF-868B-72869D1027ED}"/>
            </c:ext>
          </c:extLst>
        </c:ser>
        <c:ser>
          <c:idx val="2"/>
          <c:order val="1"/>
          <c:tx>
            <c:v>Renter</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Privatøkonomi!$B$182:$K$182</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Privatøkonomi!$B$185:$K$185</c:f>
              <c:numCache>
                <c:formatCode>_ * #,##0_ ;_ * \-#,##0_ ;_ * "-"??_ ;_ @_ </c:formatCode>
                <c:ptCount val="10"/>
                <c:pt idx="0">
                  <c:v>0</c:v>
                </c:pt>
                <c:pt idx="1">
                  <c:v>0</c:v>
                </c:pt>
                <c:pt idx="2">
                  <c:v>14822.635437852296</c:v>
                </c:pt>
                <c:pt idx="3">
                  <c:v>11682.246573900546</c:v>
                </c:pt>
                <c:pt idx="4">
                  <c:v>56526.999551131696</c:v>
                </c:pt>
                <c:pt idx="5">
                  <c:v>35423.586385375864</c:v>
                </c:pt>
                <c:pt idx="6">
                  <c:v>16015.983206153956</c:v>
                </c:pt>
                <c:pt idx="7">
                  <c:v>25625.57312984638</c:v>
                </c:pt>
                <c:pt idx="8">
                  <c:v>7160.0866098100141</c:v>
                </c:pt>
                <c:pt idx="9">
                  <c:v>0</c:v>
                </c:pt>
              </c:numCache>
            </c:numRef>
          </c:val>
          <c:extLst>
            <c:ext xmlns:c16="http://schemas.microsoft.com/office/drawing/2014/chart" uri="{C3380CC4-5D6E-409C-BE32-E72D297353CC}">
              <c16:uniqueId val="{00000001-BE20-44AF-868B-72869D1027ED}"/>
            </c:ext>
          </c:extLst>
        </c:ser>
        <c:ser>
          <c:idx val="1"/>
          <c:order val="2"/>
          <c:tx>
            <c:strRef>
              <c:f>Privatøkonomi!$A$184</c:f>
              <c:strCache>
                <c:ptCount val="1"/>
                <c:pt idx="0">
                  <c:v>Eftersyn/fast bidrag og D&amp;V</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Privatøkonomi!$B$182:$K$182</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Privatøkonomi!$B$184:$K$184</c:f>
              <c:numCache>
                <c:formatCode>_ * #,##0_ ;_ * \-#,##0_ ;_ * "-"??_ ;_ @_ </c:formatCode>
                <c:ptCount val="10"/>
                <c:pt idx="0">
                  <c:v>53062.5</c:v>
                </c:pt>
                <c:pt idx="1">
                  <c:v>47578.125</c:v>
                </c:pt>
                <c:pt idx="2">
                  <c:v>53062.5</c:v>
                </c:pt>
                <c:pt idx="3">
                  <c:v>47578.125</c:v>
                </c:pt>
                <c:pt idx="4">
                  <c:v>57843.75</c:v>
                </c:pt>
                <c:pt idx="5">
                  <c:v>57843.75</c:v>
                </c:pt>
                <c:pt idx="6">
                  <c:v>41531.25</c:v>
                </c:pt>
                <c:pt idx="7">
                  <c:v>89625</c:v>
                </c:pt>
                <c:pt idx="8">
                  <c:v>51375</c:v>
                </c:pt>
                <c:pt idx="9">
                  <c:v>189964.82951170157</c:v>
                </c:pt>
              </c:numCache>
            </c:numRef>
          </c:val>
          <c:extLst>
            <c:ext xmlns:c16="http://schemas.microsoft.com/office/drawing/2014/chart" uri="{C3380CC4-5D6E-409C-BE32-E72D297353CC}">
              <c16:uniqueId val="{00000002-BE20-44AF-868B-72869D1027ED}"/>
            </c:ext>
          </c:extLst>
        </c:ser>
        <c:ser>
          <c:idx val="0"/>
          <c:order val="3"/>
          <c:tx>
            <c:v>energiudgift/brændselsudgift</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Privatøkonomi!$B$182:$K$182</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Privatøkonomi!$B$183:$K$183</c:f>
              <c:numCache>
                <c:formatCode>_ * #,##0_ ;_ * \-#,##0_ ;_ * "-"??_ ;_ @_ </c:formatCode>
                <c:ptCount val="10"/>
                <c:pt idx="0">
                  <c:v>337500.00000000006</c:v>
                </c:pt>
                <c:pt idx="1">
                  <c:v>242424.24242424252</c:v>
                </c:pt>
                <c:pt idx="2">
                  <c:v>293478.2608695653</c:v>
                </c:pt>
                <c:pt idx="3">
                  <c:v>224929.70946579194</c:v>
                </c:pt>
                <c:pt idx="4">
                  <c:v>88986.486486486465</c:v>
                </c:pt>
                <c:pt idx="5">
                  <c:v>107950.81967213117</c:v>
                </c:pt>
                <c:pt idx="6">
                  <c:v>164625</c:v>
                </c:pt>
                <c:pt idx="7">
                  <c:v>204197.3908111174</c:v>
                </c:pt>
                <c:pt idx="8">
                  <c:v>210000</c:v>
                </c:pt>
                <c:pt idx="9">
                  <c:v>82312.5</c:v>
                </c:pt>
              </c:numCache>
            </c:numRef>
          </c:val>
          <c:extLst>
            <c:ext xmlns:c16="http://schemas.microsoft.com/office/drawing/2014/chart" uri="{C3380CC4-5D6E-409C-BE32-E72D297353CC}">
              <c16:uniqueId val="{00000003-BE20-44AF-868B-72869D1027ED}"/>
            </c:ext>
          </c:extLst>
        </c:ser>
        <c:ser>
          <c:idx val="4"/>
          <c:order val="4"/>
          <c:tx>
            <c:v>Besparelse i forhold til nuværende oliekedel set over 15 år</c:v>
          </c:tx>
          <c:spPr>
            <a:solidFill>
              <a:schemeClr val="accent6"/>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Privatøkonomi!$B$182:$K$182</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Privatøkonomi!$B$188:$K$188</c:f>
              <c:numCache>
                <c:formatCode>_ * #,##0_ ;_ * \-#,##0_ ;_ * "-"??_ ;_ @_ </c:formatCode>
                <c:ptCount val="10"/>
                <c:pt idx="1">
                  <c:v>100560.13257575751</c:v>
                </c:pt>
                <c:pt idx="2">
                  <c:v>0</c:v>
                </c:pt>
                <c:pt idx="3">
                  <c:v>80128.100778489374</c:v>
                </c:pt>
                <c:pt idx="4">
                  <c:v>60216.627598745574</c:v>
                </c:pt>
                <c:pt idx="5">
                  <c:v>109764.79848794756</c:v>
                </c:pt>
                <c:pt idx="6">
                  <c:v>132410.15315748245</c:v>
                </c:pt>
                <c:pt idx="7">
                  <c:v>13546.354240854504</c:v>
                </c:pt>
                <c:pt idx="8">
                  <c:v>105942.18611746276</c:v>
                </c:pt>
                <c:pt idx="9" formatCode="#,##0_ ;\-#,##0\ ">
                  <c:v>118285.17048829846</c:v>
                </c:pt>
              </c:numCache>
            </c:numRef>
          </c:val>
          <c:extLst>
            <c:ext xmlns:c16="http://schemas.microsoft.com/office/drawing/2014/chart" uri="{C3380CC4-5D6E-409C-BE32-E72D297353CC}">
              <c16:uniqueId val="{00000004-BE20-44AF-868B-72869D1027ED}"/>
            </c:ext>
          </c:extLst>
        </c:ser>
        <c:dLbls>
          <c:dLblPos val="ctr"/>
          <c:showLegendKey val="0"/>
          <c:showVal val="1"/>
          <c:showCatName val="0"/>
          <c:showSerName val="0"/>
          <c:showPercent val="0"/>
          <c:showBubbleSize val="0"/>
        </c:dLbls>
        <c:gapWidth val="150"/>
        <c:overlap val="100"/>
        <c:axId val="1140279624"/>
        <c:axId val="1140280016"/>
      </c:barChart>
      <c:catAx>
        <c:axId val="1140279624"/>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1140280016"/>
        <c:crosses val="autoZero"/>
        <c:auto val="1"/>
        <c:lblAlgn val="ctr"/>
        <c:lblOffset val="100"/>
        <c:noMultiLvlLbl val="0"/>
      </c:catAx>
      <c:valAx>
        <c:axId val="11402800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r>
                  <a:rPr lang="da-DK"/>
                  <a:t>kr </a:t>
                </a:r>
              </a:p>
            </c:rich>
          </c:tx>
          <c:layout>
            <c:manualLayout>
              <c:xMode val="edge"/>
              <c:yMode val="edge"/>
              <c:x val="3.7567598733178074E-2"/>
              <c:y val="0.14532409930311702"/>
            </c:manualLayout>
          </c:layout>
          <c:overlay val="0"/>
          <c:spPr>
            <a:noFill/>
            <a:ln>
              <a:noFill/>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da-DK"/>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1140279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Privatøkonomisk Nutidsbesparelse set over levetid 15 år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8.065866935980491E-2"/>
          <c:y val="0.11802184025380971"/>
          <c:w val="0.8655218321639353"/>
          <c:h val="0.78808660312521139"/>
        </c:manualLayout>
      </c:layout>
      <c:barChart>
        <c:barDir val="col"/>
        <c:grouping val="clustered"/>
        <c:varyColors val="0"/>
        <c:ser>
          <c:idx val="0"/>
          <c:order val="0"/>
          <c:tx>
            <c:v>Nutidsværdi besparelse i forhold til gl oliefyr med 20% stigning i energipris på olie, gas og træpiller</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Privatøkonomi!$B$182:$K$182</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Privatøkonomi!$B$189:$K$189</c:f>
              <c:numCache>
                <c:formatCode>_ * #,##0_ ;_ * \-#,##0_ ;_ * "-"??_ ;_ @_ </c:formatCode>
                <c:ptCount val="10"/>
                <c:pt idx="1">
                  <c:v>100560.13257575757</c:v>
                </c:pt>
                <c:pt idx="2">
                  <c:v>-4100.1387316599139</c:v>
                </c:pt>
                <c:pt idx="3">
                  <c:v>80128.100778489315</c:v>
                </c:pt>
                <c:pt idx="4">
                  <c:v>60216.62759874569</c:v>
                </c:pt>
                <c:pt idx="5">
                  <c:v>109764.79848794767</c:v>
                </c:pt>
                <c:pt idx="6">
                  <c:v>132410.15315748248</c:v>
                </c:pt>
                <c:pt idx="7">
                  <c:v>13546.354240854562</c:v>
                </c:pt>
                <c:pt idx="8">
                  <c:v>105942.18611746276</c:v>
                </c:pt>
                <c:pt idx="9">
                  <c:v>118285.17048829846</c:v>
                </c:pt>
              </c:numCache>
            </c:numRef>
          </c:val>
          <c:extLst>
            <c:ext xmlns:c16="http://schemas.microsoft.com/office/drawing/2014/chart" uri="{C3380CC4-5D6E-409C-BE32-E72D297353CC}">
              <c16:uniqueId val="{00000000-0F6E-4795-8106-D1F831F9522C}"/>
            </c:ext>
          </c:extLst>
        </c:ser>
        <c:dLbls>
          <c:showLegendKey val="0"/>
          <c:showVal val="0"/>
          <c:showCatName val="0"/>
          <c:showSerName val="0"/>
          <c:showPercent val="0"/>
          <c:showBubbleSize val="0"/>
        </c:dLbls>
        <c:gapWidth val="47"/>
        <c:axId val="1028006552"/>
        <c:axId val="1028006944"/>
      </c:barChart>
      <c:lineChart>
        <c:grouping val="standard"/>
        <c:varyColors val="0"/>
        <c:ser>
          <c:idx val="1"/>
          <c:order val="1"/>
          <c:tx>
            <c:strRef>
              <c:f>Privatøkonomi!$A$190</c:f>
              <c:strCache>
                <c:ptCount val="1"/>
                <c:pt idx="0">
                  <c:v>CO2 besparelse set over 15 års levetid fra Gl oliefyr</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Privatøkonomi!$B$182:$K$182</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Privatøkonomi!$B$190:$K$190</c:f>
              <c:numCache>
                <c:formatCode>_ * #,##0.0_ ;_ * \-#,##0.0_ ;_ * "-"??_ ;_ @_ </c:formatCode>
                <c:ptCount val="10"/>
                <c:pt idx="0">
                  <c:v>0</c:v>
                </c:pt>
                <c:pt idx="1">
                  <c:v>0</c:v>
                </c:pt>
                <c:pt idx="2" formatCode="_ * #,##0_ ;_ * \-#,##0_ ;_ * &quot;-&quot;??_ ;_ @_ ">
                  <c:v>13.059782608695645</c:v>
                </c:pt>
                <c:pt idx="3" formatCode="_ * #,##0_ ;_ * \-#,##0_ ;_ * &quot;-&quot;??_ ;_ @_ ">
                  <c:v>36.722938144329895</c:v>
                </c:pt>
                <c:pt idx="4" formatCode="_ * #,##0_ ;_ * \-#,##0_ ;_ * &quot;-&quot;??_ ;_ @_ ">
                  <c:v>84.719594594594597</c:v>
                </c:pt>
                <c:pt idx="5" formatCode="_ * #,##0_ ;_ * \-#,##0_ ;_ * &quot;-&quot;??_ ;_ @_ ">
                  <c:v>81.436475409836049</c:v>
                </c:pt>
                <c:pt idx="6" formatCode="_ * #,##0_ ;_ * \-#,##0_ ;_ * &quot;-&quot;??_ ;_ @_ ">
                  <c:v>71.625</c:v>
                </c:pt>
                <c:pt idx="7" formatCode="_ * #,##0_ ;_ * \-#,##0_ ;_ * &quot;-&quot;??_ ;_ @_ ">
                  <c:v>30.61280487804877</c:v>
                </c:pt>
                <c:pt idx="8" formatCode="_ * #,##0_ ;_ * \-#,##0_ ;_ * &quot;-&quot;??_ ;_ @_ ">
                  <c:v>73.125</c:v>
                </c:pt>
                <c:pt idx="9" formatCode="_ * #,##0_ ;_ * \-#,##0_ ;_ * &quot;-&quot;??_ ;_ @_ ">
                  <c:v>85.875</c:v>
                </c:pt>
              </c:numCache>
            </c:numRef>
          </c:val>
          <c:smooth val="0"/>
          <c:extLst>
            <c:ext xmlns:c16="http://schemas.microsoft.com/office/drawing/2014/chart" uri="{C3380CC4-5D6E-409C-BE32-E72D297353CC}">
              <c16:uniqueId val="{00000001-0F6E-4795-8106-D1F831F9522C}"/>
            </c:ext>
          </c:extLst>
        </c:ser>
        <c:dLbls>
          <c:showLegendKey val="0"/>
          <c:showVal val="0"/>
          <c:showCatName val="0"/>
          <c:showSerName val="0"/>
          <c:showPercent val="0"/>
          <c:showBubbleSize val="0"/>
        </c:dLbls>
        <c:marker val="1"/>
        <c:smooth val="0"/>
        <c:axId val="2068214895"/>
        <c:axId val="240009183"/>
      </c:lineChart>
      <c:catAx>
        <c:axId val="1028006552"/>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1028006944"/>
        <c:crosses val="autoZero"/>
        <c:auto val="1"/>
        <c:lblAlgn val="ctr"/>
        <c:lblOffset val="100"/>
        <c:noMultiLvlLbl val="0"/>
      </c:catAx>
      <c:valAx>
        <c:axId val="102800694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r>
                  <a:rPr lang="da-DK"/>
                  <a:t>kr</a:t>
                </a:r>
              </a:p>
            </c:rich>
          </c:tx>
          <c:layout>
            <c:manualLayout>
              <c:xMode val="edge"/>
              <c:yMode val="edge"/>
              <c:x val="4.7819459738039957E-2"/>
              <c:y val="6.0487831184651314E-2"/>
            </c:manualLayout>
          </c:layout>
          <c:overlay val="0"/>
          <c:spPr>
            <a:noFill/>
            <a:ln>
              <a:noFill/>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1028006552"/>
        <c:crosses val="autoZero"/>
        <c:crossBetween val="between"/>
      </c:valAx>
      <c:valAx>
        <c:axId val="240009183"/>
        <c:scaling>
          <c:orientation val="minMax"/>
        </c:scaling>
        <c:delete val="0"/>
        <c:axPos val="r"/>
        <c:title>
          <c:tx>
            <c:rich>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r>
                  <a:rPr lang="da-DK"/>
                  <a:t>Tons CO2 over levetid</a:t>
                </a:r>
              </a:p>
            </c:rich>
          </c:tx>
          <c:layout>
            <c:manualLayout>
              <c:xMode val="edge"/>
              <c:yMode val="edge"/>
              <c:x val="0.9045364698344277"/>
              <c:y val="6.7406305010671394E-2"/>
            </c:manualLayout>
          </c:layout>
          <c:overlay val="0"/>
          <c:spPr>
            <a:noFill/>
            <a:ln>
              <a:noFill/>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2068214895"/>
        <c:crosses val="max"/>
        <c:crossBetween val="between"/>
      </c:valAx>
      <c:catAx>
        <c:axId val="2068214895"/>
        <c:scaling>
          <c:orientation val="minMax"/>
        </c:scaling>
        <c:delete val="1"/>
        <c:axPos val="b"/>
        <c:numFmt formatCode="General" sourceLinked="1"/>
        <c:majorTickMark val="none"/>
        <c:minorTickMark val="none"/>
        <c:tickLblPos val="nextTo"/>
        <c:crossAx val="24000918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Privat</a:t>
            </a:r>
            <a:r>
              <a:rPr lang="da-DK" baseline="0"/>
              <a:t> økonomisk a</a:t>
            </a:r>
            <a:r>
              <a:rPr lang="da-DK"/>
              <a:t>fskrivning/</a:t>
            </a:r>
            <a:r>
              <a:rPr lang="da-DK" baseline="0"/>
              <a:t> omkostning ved tidlig udtrædelse</a:t>
            </a:r>
            <a:endParaRPr lang="da-DK"/>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lineChart>
        <c:grouping val="standard"/>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val>
            <c:numRef>
              <c:f>Privatøkonomi!$D$198:$D$247</c:f>
              <c:numCache>
                <c:formatCode>_ * #,##0_ ;_ * \-#,##0_ ;_ * "-"??_ ;_ @_ </c:formatCode>
                <c:ptCount val="50"/>
                <c:pt idx="0">
                  <c:v>294765.33705595642</c:v>
                </c:pt>
                <c:pt idx="1">
                  <c:v>284601.01508850965</c:v>
                </c:pt>
                <c:pt idx="2">
                  <c:v>274436.69312106288</c:v>
                </c:pt>
                <c:pt idx="3">
                  <c:v>264272.37115361611</c:v>
                </c:pt>
                <c:pt idx="4">
                  <c:v>254108.04918616934</c:v>
                </c:pt>
                <c:pt idx="5">
                  <c:v>243943.72721872258</c:v>
                </c:pt>
                <c:pt idx="6">
                  <c:v>233779.40525127581</c:v>
                </c:pt>
                <c:pt idx="7">
                  <c:v>223615.08328382904</c:v>
                </c:pt>
                <c:pt idx="8">
                  <c:v>213450.76131638227</c:v>
                </c:pt>
                <c:pt idx="9">
                  <c:v>203286.4393489355</c:v>
                </c:pt>
                <c:pt idx="10">
                  <c:v>193122.11738148873</c:v>
                </c:pt>
                <c:pt idx="11">
                  <c:v>182957.79541404196</c:v>
                </c:pt>
                <c:pt idx="12">
                  <c:v>172793.47344659519</c:v>
                </c:pt>
                <c:pt idx="13">
                  <c:v>162629.15147914842</c:v>
                </c:pt>
                <c:pt idx="14">
                  <c:v>152464.82951170165</c:v>
                </c:pt>
                <c:pt idx="15">
                  <c:v>142300.50754425488</c:v>
                </c:pt>
                <c:pt idx="16">
                  <c:v>132136.18557680812</c:v>
                </c:pt>
                <c:pt idx="17">
                  <c:v>121971.86360936135</c:v>
                </c:pt>
                <c:pt idx="18">
                  <c:v>111807.54164191458</c:v>
                </c:pt>
                <c:pt idx="19">
                  <c:v>101643.21967446781</c:v>
                </c:pt>
                <c:pt idx="20">
                  <c:v>91478.897707021039</c:v>
                </c:pt>
                <c:pt idx="21">
                  <c:v>81314.575739574269</c:v>
                </c:pt>
                <c:pt idx="22">
                  <c:v>71150.2537721275</c:v>
                </c:pt>
                <c:pt idx="23">
                  <c:v>60985.931804680731</c:v>
                </c:pt>
                <c:pt idx="24">
                  <c:v>50821.609837233962</c:v>
                </c:pt>
                <c:pt idx="25">
                  <c:v>40657.287869787193</c:v>
                </c:pt>
                <c:pt idx="26">
                  <c:v>30492.96590234042</c:v>
                </c:pt>
                <c:pt idx="27">
                  <c:v>20328.643934893647</c:v>
                </c:pt>
                <c:pt idx="28">
                  <c:v>10164.321967446875</c:v>
                </c:pt>
                <c:pt idx="29">
                  <c:v>1.0186340659856796E-10</c:v>
                </c:pt>
                <c:pt idx="30">
                  <c:v>1.0186340659856796E-10</c:v>
                </c:pt>
                <c:pt idx="31">
                  <c:v>1.0186340659856796E-10</c:v>
                </c:pt>
                <c:pt idx="32">
                  <c:v>1.0186340659856796E-10</c:v>
                </c:pt>
                <c:pt idx="33">
                  <c:v>1.0186340659856796E-10</c:v>
                </c:pt>
                <c:pt idx="34">
                  <c:v>1.0186340659856796E-10</c:v>
                </c:pt>
                <c:pt idx="35">
                  <c:v>1.0186340659856796E-10</c:v>
                </c:pt>
                <c:pt idx="36">
                  <c:v>1.0186340659856796E-10</c:v>
                </c:pt>
                <c:pt idx="37">
                  <c:v>1.0186340659856796E-10</c:v>
                </c:pt>
                <c:pt idx="38">
                  <c:v>1.0186340659856796E-10</c:v>
                </c:pt>
                <c:pt idx="39">
                  <c:v>1.0186340659856796E-10</c:v>
                </c:pt>
                <c:pt idx="40">
                  <c:v>1.0186340659856796E-10</c:v>
                </c:pt>
                <c:pt idx="41">
                  <c:v>1.0186340659856796E-10</c:v>
                </c:pt>
                <c:pt idx="42">
                  <c:v>1.0186340659856796E-10</c:v>
                </c:pt>
                <c:pt idx="43">
                  <c:v>1.0186340659856796E-10</c:v>
                </c:pt>
                <c:pt idx="44">
                  <c:v>1.0186340659856796E-10</c:v>
                </c:pt>
                <c:pt idx="45">
                  <c:v>1.0186340659856796E-10</c:v>
                </c:pt>
                <c:pt idx="46">
                  <c:v>1.0186340659856796E-10</c:v>
                </c:pt>
                <c:pt idx="47">
                  <c:v>1.0186340659856796E-10</c:v>
                </c:pt>
                <c:pt idx="48">
                  <c:v>1.0186340659856796E-10</c:v>
                </c:pt>
                <c:pt idx="49">
                  <c:v>1.0186340659856796E-10</c:v>
                </c:pt>
              </c:numCache>
            </c:numRef>
          </c:val>
          <c:smooth val="0"/>
          <c:extLst>
            <c:ext xmlns:c16="http://schemas.microsoft.com/office/drawing/2014/chart" uri="{C3380CC4-5D6E-409C-BE32-E72D297353CC}">
              <c16:uniqueId val="{00000000-A1B8-4A14-833A-A36F3860AAAF}"/>
            </c:ext>
          </c:extLst>
        </c:ser>
        <c:dLbls>
          <c:showLegendKey val="0"/>
          <c:showVal val="0"/>
          <c:showCatName val="0"/>
          <c:showSerName val="0"/>
          <c:showPercent val="0"/>
          <c:showBubbleSize val="0"/>
        </c:dLbls>
        <c:smooth val="0"/>
        <c:axId val="1843358095"/>
        <c:axId val="240012095"/>
      </c:lineChart>
      <c:catAx>
        <c:axId val="1843358095"/>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da-DK"/>
                  <a:t>År</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da-DK"/>
            </a:p>
          </c:txPr>
        </c:title>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050" b="0" i="0" u="none" strike="noStrike" kern="1200" baseline="0">
                <a:solidFill>
                  <a:schemeClr val="lt1">
                    <a:lumMod val="85000"/>
                  </a:schemeClr>
                </a:solidFill>
                <a:latin typeface="+mn-lt"/>
                <a:ea typeface="+mn-ea"/>
                <a:cs typeface="+mn-cs"/>
              </a:defRPr>
            </a:pPr>
            <a:endParaRPr lang="da-DK"/>
          </a:p>
        </c:txPr>
        <c:crossAx val="240012095"/>
        <c:crosses val="autoZero"/>
        <c:auto val="1"/>
        <c:lblAlgn val="ctr"/>
        <c:lblOffset val="100"/>
        <c:noMultiLvlLbl val="0"/>
      </c:catAx>
      <c:valAx>
        <c:axId val="240012095"/>
        <c:scaling>
          <c:orientation val="minMax"/>
          <c:min val="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da-DK"/>
                  <a:t>Kr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da-DK"/>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lt1">
                    <a:lumMod val="85000"/>
                  </a:schemeClr>
                </a:solidFill>
                <a:latin typeface="+mn-lt"/>
                <a:ea typeface="+mn-ea"/>
                <a:cs typeface="+mn-cs"/>
              </a:defRPr>
            </a:pPr>
            <a:endParaRPr lang="da-DK"/>
          </a:p>
        </c:txPr>
        <c:crossAx val="18433580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Privatøkonomisk udgiftsfordeling i</a:t>
            </a:r>
            <a:r>
              <a:rPr lang="da-DK" baseline="0"/>
              <a:t> varmeanlæggets levetid (15 år) </a:t>
            </a:r>
          </a:p>
          <a:p>
            <a:pPr>
              <a:defRPr/>
            </a:pPr>
            <a:r>
              <a:rPr lang="da-DK" baseline="0"/>
              <a:t>fordelt på investering/lån/energi omkostning</a:t>
            </a:r>
            <a:r>
              <a:rPr lang="da-DK"/>
              <a:t>.</a:t>
            </a:r>
          </a:p>
        </c:rich>
      </c:tx>
      <c:layout>
        <c:manualLayout>
          <c:xMode val="edge"/>
          <c:yMode val="edge"/>
          <c:x val="0.26763591691783067"/>
          <c:y val="2.1104892645892142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barChart>
        <c:barDir val="col"/>
        <c:grouping val="stacked"/>
        <c:varyColors val="0"/>
        <c:ser>
          <c:idx val="0"/>
          <c:order val="0"/>
          <c:tx>
            <c:strRef>
              <c:f>Privatøkonomi!$A$36</c:f>
              <c:strCache>
                <c:ptCount val="1"/>
                <c:pt idx="0">
                  <c:v>Eftersyn eller fast bidrag</c:v>
                </c:pt>
              </c:strCache>
            </c:strRef>
          </c:tx>
          <c:spPr>
            <a:solidFill>
              <a:schemeClr val="bg1">
                <a:lumMod val="5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Privatøkonomi!$B$30:$K$30</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Privatøkonomi!$B$36:$K$36</c:f>
              <c:numCache>
                <c:formatCode>_ * #,##0_ ;_ * \-#,##0_ ;_ * "-"??_ ;_ @_ </c:formatCode>
                <c:ptCount val="10"/>
                <c:pt idx="0">
                  <c:v>1250</c:v>
                </c:pt>
                <c:pt idx="1">
                  <c:v>1250</c:v>
                </c:pt>
                <c:pt idx="2">
                  <c:v>1250</c:v>
                </c:pt>
                <c:pt idx="3">
                  <c:v>1250</c:v>
                </c:pt>
                <c:pt idx="4">
                  <c:v>1250</c:v>
                </c:pt>
                <c:pt idx="5">
                  <c:v>1250</c:v>
                </c:pt>
                <c:pt idx="6">
                  <c:v>1250</c:v>
                </c:pt>
                <c:pt idx="7">
                  <c:v>1250</c:v>
                </c:pt>
                <c:pt idx="8">
                  <c:v>2800</c:v>
                </c:pt>
                <c:pt idx="9">
                  <c:v>10164.321967446773</c:v>
                </c:pt>
              </c:numCache>
            </c:numRef>
          </c:val>
          <c:extLst>
            <c:ext xmlns:c16="http://schemas.microsoft.com/office/drawing/2014/chart" uri="{C3380CC4-5D6E-409C-BE32-E72D297353CC}">
              <c16:uniqueId val="{00000000-D375-42EA-9F73-BBA07268805D}"/>
            </c:ext>
          </c:extLst>
        </c:ser>
        <c:ser>
          <c:idx val="1"/>
          <c:order val="1"/>
          <c:tx>
            <c:strRef>
              <c:f>Privatøkonomi!$A$37</c:f>
              <c:strCache>
                <c:ptCount val="1"/>
                <c:pt idx="0">
                  <c:v>Drift &amp; vedligehold</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Privatøkonomi!$B$30:$K$30</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Privatøkonomi!$B$37:$K$37</c:f>
              <c:numCache>
                <c:formatCode>_ * #,##0_ ;_ * \-#,##0_ ;_ * "-"??_ ;_ @_ </c:formatCode>
                <c:ptCount val="10"/>
                <c:pt idx="0">
                  <c:v>2287.5</c:v>
                </c:pt>
                <c:pt idx="1">
                  <c:v>1921.875</c:v>
                </c:pt>
                <c:pt idx="2">
                  <c:v>2287.5</c:v>
                </c:pt>
                <c:pt idx="3">
                  <c:v>1921.875</c:v>
                </c:pt>
                <c:pt idx="4">
                  <c:v>2606.25</c:v>
                </c:pt>
                <c:pt idx="5">
                  <c:v>2606.25</c:v>
                </c:pt>
                <c:pt idx="6">
                  <c:v>1518.75</c:v>
                </c:pt>
                <c:pt idx="7">
                  <c:v>4725</c:v>
                </c:pt>
                <c:pt idx="8">
                  <c:v>625</c:v>
                </c:pt>
                <c:pt idx="9">
                  <c:v>2500</c:v>
                </c:pt>
              </c:numCache>
            </c:numRef>
          </c:val>
          <c:extLst>
            <c:ext xmlns:c16="http://schemas.microsoft.com/office/drawing/2014/chart" uri="{C3380CC4-5D6E-409C-BE32-E72D297353CC}">
              <c16:uniqueId val="{00000001-D375-42EA-9F73-BBA07268805D}"/>
            </c:ext>
          </c:extLst>
        </c:ser>
        <c:ser>
          <c:idx val="4"/>
          <c:order val="2"/>
          <c:tx>
            <c:strRef>
              <c:f>Privatøkonomi!$A$41</c:f>
              <c:strCache>
                <c:ptCount val="1"/>
                <c:pt idx="0">
                  <c:v>Ydelse over 15 år</c:v>
                </c:pt>
              </c:strCache>
            </c:strRef>
          </c:tx>
          <c:spPr>
            <a:solidFill>
              <a:srgbClr val="FFC00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Privatøkonomi!$B$30:$K$30</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Privatøkonomi!$B$41:$K$41</c:f>
              <c:numCache>
                <c:formatCode>_ * #,##0_ ;_ * \-#,##0_ ;_ * "-"??_ ;_ @_ </c:formatCode>
                <c:ptCount val="10"/>
                <c:pt idx="0">
                  <c:v>0</c:v>
                </c:pt>
                <c:pt idx="1">
                  <c:v>0</c:v>
                </c:pt>
                <c:pt idx="2">
                  <c:v>3208.125190806315</c:v>
                </c:pt>
                <c:pt idx="3">
                  <c:v>2528.4376503812487</c:v>
                </c:pt>
                <c:pt idx="4">
                  <c:v>12234.375727651201</c:v>
                </c:pt>
                <c:pt idx="5">
                  <c:v>7666.8754559947547</c:v>
                </c:pt>
                <c:pt idx="6">
                  <c:v>3466.4064561678406</c:v>
                </c:pt>
                <c:pt idx="7">
                  <c:v>5546.2503298685442</c:v>
                </c:pt>
                <c:pt idx="8">
                  <c:v>1549.6875921691521</c:v>
                </c:pt>
                <c:pt idx="9">
                  <c:v>0</c:v>
                </c:pt>
              </c:numCache>
            </c:numRef>
          </c:val>
          <c:extLst>
            <c:ext xmlns:c16="http://schemas.microsoft.com/office/drawing/2014/chart" uri="{C3380CC4-5D6E-409C-BE32-E72D297353CC}">
              <c16:uniqueId val="{00000002-D375-42EA-9F73-BBA07268805D}"/>
            </c:ext>
          </c:extLst>
        </c:ser>
        <c:ser>
          <c:idx val="3"/>
          <c:order val="3"/>
          <c:tx>
            <c:strRef>
              <c:f>Privatøkonomi!$A$39</c:f>
              <c:strCache>
                <c:ptCount val="1"/>
                <c:pt idx="0">
                  <c:v>Energiudgift 1. år ex eftersyn og faste bidrag</c:v>
                </c:pt>
              </c:strCache>
            </c:strRef>
          </c:tx>
          <c:spPr>
            <a:solidFill>
              <a:schemeClr val="accent1"/>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Privatøkonomi!$B$30:$K$30</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Privatøkonomi!$B$39:$K$39</c:f>
              <c:numCache>
                <c:formatCode>_ * #,##0_ ;_ * \-#,##0_ ;_ * "-"??_ ;_ @_ </c:formatCode>
                <c:ptCount val="10"/>
                <c:pt idx="0">
                  <c:v>22500.000000000004</c:v>
                </c:pt>
                <c:pt idx="1">
                  <c:v>16161.616161616164</c:v>
                </c:pt>
                <c:pt idx="2">
                  <c:v>19565.217391304352</c:v>
                </c:pt>
                <c:pt idx="3">
                  <c:v>14995.313964386132</c:v>
                </c:pt>
                <c:pt idx="4">
                  <c:v>5932.4324324324316</c:v>
                </c:pt>
                <c:pt idx="5">
                  <c:v>7196.7213114754095</c:v>
                </c:pt>
                <c:pt idx="6">
                  <c:v>10975</c:v>
                </c:pt>
                <c:pt idx="7">
                  <c:v>13613.159387407828</c:v>
                </c:pt>
                <c:pt idx="8">
                  <c:v>14000</c:v>
                </c:pt>
                <c:pt idx="9">
                  <c:v>5487.5</c:v>
                </c:pt>
              </c:numCache>
            </c:numRef>
          </c:val>
          <c:extLst>
            <c:ext xmlns:c16="http://schemas.microsoft.com/office/drawing/2014/chart" uri="{C3380CC4-5D6E-409C-BE32-E72D297353CC}">
              <c16:uniqueId val="{00000003-D375-42EA-9F73-BBA07268805D}"/>
            </c:ext>
          </c:extLst>
        </c:ser>
        <c:dLbls>
          <c:showLegendKey val="0"/>
          <c:showVal val="0"/>
          <c:showCatName val="0"/>
          <c:showSerName val="0"/>
          <c:showPercent val="0"/>
          <c:showBubbleSize val="0"/>
        </c:dLbls>
        <c:gapWidth val="150"/>
        <c:overlap val="100"/>
        <c:axId val="302652671"/>
        <c:axId val="2083309503"/>
      </c:barChart>
      <c:lineChart>
        <c:grouping val="standard"/>
        <c:varyColors val="0"/>
        <c:ser>
          <c:idx val="2"/>
          <c:order val="4"/>
          <c:tx>
            <c:strRef>
              <c:f>Privatøkonomi!$A$43</c:f>
              <c:strCache>
                <c:ptCount val="1"/>
                <c:pt idx="0">
                  <c:v>total omk. inkl lån/afdrag/energi/D&amp;V i levetiden</c:v>
                </c:pt>
              </c:strCache>
            </c:strRef>
          </c:tx>
          <c:spPr>
            <a:ln w="34925" cap="rnd">
              <a:solidFill>
                <a:schemeClr val="accent6"/>
              </a:solidFill>
              <a:round/>
            </a:ln>
            <a:effectLst>
              <a:outerShdw blurRad="57150" dist="19050" dir="5400000" algn="ctr" rotWithShape="0">
                <a:srgbClr val="000000">
                  <a:alpha val="63000"/>
                </a:srgbClr>
              </a:outerShdw>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Privatøkonomi!$B$30:$K$30</c:f>
              <c:strCache>
                <c:ptCount val="10"/>
                <c:pt idx="0">
                  <c:v>Gl oliefyr</c:v>
                </c:pt>
                <c:pt idx="1">
                  <c:v>Gl Gasfyr</c:v>
                </c:pt>
                <c:pt idx="2">
                  <c:v>Nyt Oliefyr</c:v>
                </c:pt>
                <c:pt idx="3">
                  <c:v>Nyt Gasfyr</c:v>
                </c:pt>
                <c:pt idx="4">
                  <c:v>indv. V/V VP</c:v>
                </c:pt>
                <c:pt idx="5">
                  <c:v>indv. L/V VP</c:v>
                </c:pt>
                <c:pt idx="6">
                  <c:v>indv. L/L VP</c:v>
                </c:pt>
                <c:pt idx="7">
                  <c:v>indv.Træpiller</c:v>
                </c:pt>
                <c:pt idx="8">
                  <c:v>Fjernvarme</c:v>
                </c:pt>
                <c:pt idx="9">
                  <c:v>Fælles ATES + V/V VP</c:v>
                </c:pt>
              </c:strCache>
            </c:strRef>
          </c:cat>
          <c:val>
            <c:numRef>
              <c:f>Privatøkonomi!$B$43:$K$43</c:f>
              <c:numCache>
                <c:formatCode>_ * #,##0_ ;_ * \-#,##0_ ;_ * "-"??_ ;_ @_ </c:formatCode>
                <c:ptCount val="10"/>
                <c:pt idx="0">
                  <c:v>26037.500000000004</c:v>
                </c:pt>
                <c:pt idx="1">
                  <c:v>19333.491161616163</c:v>
                </c:pt>
                <c:pt idx="2">
                  <c:v>26310.842582110665</c:v>
                </c:pt>
                <c:pt idx="3">
                  <c:v>20695.626614767381</c:v>
                </c:pt>
                <c:pt idx="4">
                  <c:v>22023.05816008363</c:v>
                </c:pt>
                <c:pt idx="5">
                  <c:v>18719.846767470164</c:v>
                </c:pt>
                <c:pt idx="6">
                  <c:v>17210.156456167839</c:v>
                </c:pt>
                <c:pt idx="7">
                  <c:v>25134.409717276372</c:v>
                </c:pt>
                <c:pt idx="8">
                  <c:v>18974.687592169154</c:v>
                </c:pt>
                <c:pt idx="9">
                  <c:v>18151.821967446773</c:v>
                </c:pt>
              </c:numCache>
            </c:numRef>
          </c:val>
          <c:smooth val="0"/>
          <c:extLst>
            <c:ext xmlns:c16="http://schemas.microsoft.com/office/drawing/2014/chart" uri="{C3380CC4-5D6E-409C-BE32-E72D297353CC}">
              <c16:uniqueId val="{00000000-E766-4DE8-9700-39A96B0DF99B}"/>
            </c:ext>
          </c:extLst>
        </c:ser>
        <c:dLbls>
          <c:showLegendKey val="0"/>
          <c:showVal val="0"/>
          <c:showCatName val="0"/>
          <c:showSerName val="0"/>
          <c:showPercent val="0"/>
          <c:showBubbleSize val="0"/>
        </c:dLbls>
        <c:marker val="1"/>
        <c:smooth val="0"/>
        <c:axId val="302652671"/>
        <c:axId val="2083309503"/>
      </c:lineChart>
      <c:catAx>
        <c:axId val="30265267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2083309503"/>
        <c:crosses val="autoZero"/>
        <c:auto val="1"/>
        <c:lblAlgn val="ctr"/>
        <c:lblOffset val="100"/>
        <c:noMultiLvlLbl val="0"/>
      </c:catAx>
      <c:valAx>
        <c:axId val="2083309503"/>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da-DK"/>
                  <a:t>kR/år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da-DK"/>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302652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kassebeholdning selsskab</a:t>
            </a:r>
          </a:p>
        </c:rich>
      </c:tx>
      <c:layout>
        <c:manualLayout>
          <c:xMode val="edge"/>
          <c:yMode val="edge"/>
          <c:x val="0.36096522309711293"/>
          <c:y val="2.7777777777777776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Selskabsøkonomi!$D$27:$AG$27</c:f>
              <c:numCache>
                <c:formatCode>#,##0</c:formatCode>
                <c:ptCount val="30"/>
                <c:pt idx="0">
                  <c:v>245333.33333333349</c:v>
                </c:pt>
                <c:pt idx="1">
                  <c:v>490666.66666666698</c:v>
                </c:pt>
                <c:pt idx="2">
                  <c:v>736000.00000000047</c:v>
                </c:pt>
                <c:pt idx="3">
                  <c:v>981333.33333333395</c:v>
                </c:pt>
                <c:pt idx="4">
                  <c:v>1226666.6666666674</c:v>
                </c:pt>
                <c:pt idx="5">
                  <c:v>1472000.0000000009</c:v>
                </c:pt>
                <c:pt idx="6">
                  <c:v>1717333.3333333344</c:v>
                </c:pt>
                <c:pt idx="7">
                  <c:v>1962666.6666666679</c:v>
                </c:pt>
                <c:pt idx="8">
                  <c:v>2208000.0000000014</c:v>
                </c:pt>
                <c:pt idx="9">
                  <c:v>2453333.3333333349</c:v>
                </c:pt>
                <c:pt idx="10">
                  <c:v>2698666.6666666684</c:v>
                </c:pt>
                <c:pt idx="11">
                  <c:v>2944000.0000000019</c:v>
                </c:pt>
                <c:pt idx="12">
                  <c:v>3189333.3333333354</c:v>
                </c:pt>
                <c:pt idx="13">
                  <c:v>3434666.6666666688</c:v>
                </c:pt>
                <c:pt idx="14">
                  <c:v>0</c:v>
                </c:pt>
                <c:pt idx="15">
                  <c:v>245333.33333333349</c:v>
                </c:pt>
                <c:pt idx="16">
                  <c:v>490666.66666666698</c:v>
                </c:pt>
                <c:pt idx="17">
                  <c:v>736000.00000000047</c:v>
                </c:pt>
                <c:pt idx="18">
                  <c:v>981333.33333333395</c:v>
                </c:pt>
                <c:pt idx="19">
                  <c:v>1226666.6666666674</c:v>
                </c:pt>
                <c:pt idx="20">
                  <c:v>1472000.0000000009</c:v>
                </c:pt>
                <c:pt idx="21">
                  <c:v>1717333.3333333344</c:v>
                </c:pt>
                <c:pt idx="22">
                  <c:v>1962666.6666666679</c:v>
                </c:pt>
                <c:pt idx="23">
                  <c:v>2208000.0000000014</c:v>
                </c:pt>
                <c:pt idx="24">
                  <c:v>2453333.3333333349</c:v>
                </c:pt>
                <c:pt idx="25">
                  <c:v>2698666.6666666684</c:v>
                </c:pt>
                <c:pt idx="26">
                  <c:v>2944000.0000000019</c:v>
                </c:pt>
                <c:pt idx="27">
                  <c:v>3189333.3333333354</c:v>
                </c:pt>
                <c:pt idx="28">
                  <c:v>3434666.6666666688</c:v>
                </c:pt>
                <c:pt idx="29">
                  <c:v>0</c:v>
                </c:pt>
              </c:numCache>
            </c:numRef>
          </c:val>
          <c:extLst>
            <c:ext xmlns:c16="http://schemas.microsoft.com/office/drawing/2014/chart" uri="{C3380CC4-5D6E-409C-BE32-E72D297353CC}">
              <c16:uniqueId val="{00000000-0916-4ED9-836A-D6A73E33F630}"/>
            </c:ext>
          </c:extLst>
        </c:ser>
        <c:dLbls>
          <c:showLegendKey val="0"/>
          <c:showVal val="0"/>
          <c:showCatName val="0"/>
          <c:showSerName val="0"/>
          <c:showPercent val="0"/>
          <c:showBubbleSize val="0"/>
        </c:dLbls>
        <c:gapWidth val="100"/>
        <c:overlap val="-24"/>
        <c:axId val="192374847"/>
        <c:axId val="1031954175"/>
      </c:barChart>
      <c:catAx>
        <c:axId val="192374847"/>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år</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da-DK"/>
            </a:p>
          </c:txPr>
        </c:title>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1031954175"/>
        <c:crosses val="autoZero"/>
        <c:auto val="1"/>
        <c:lblAlgn val="ctr"/>
        <c:lblOffset val="100"/>
        <c:noMultiLvlLbl val="0"/>
      </c:catAx>
      <c:valAx>
        <c:axId val="1031954175"/>
        <c:scaling>
          <c:orientation val="minMax"/>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r>
                  <a:rPr lang="en-US"/>
                  <a:t>kr.</a:t>
                </a:r>
              </a:p>
            </c:rich>
          </c:tx>
          <c:layout>
            <c:manualLayout>
              <c:xMode val="edge"/>
              <c:yMode val="edge"/>
              <c:x val="5.5841924398625425E-2"/>
              <c:y val="5.3720672556379918E-2"/>
            </c:manualLayout>
          </c:layout>
          <c:overlay val="0"/>
          <c:spPr>
            <a:noFill/>
            <a:ln>
              <a:noFill/>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1923748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Selsskabsøkonomisk Indtægter / udgifter / Balance / akkumuleret kassebeholding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5.7066875690312456E-2"/>
          <c:y val="0.2110491890098585"/>
          <c:w val="0.89828757378178403"/>
          <c:h val="0.77479665640944473"/>
        </c:manualLayout>
      </c:layout>
      <c:lineChart>
        <c:grouping val="standard"/>
        <c:varyColors val="0"/>
        <c:ser>
          <c:idx val="0"/>
          <c:order val="0"/>
          <c:tx>
            <c:strRef>
              <c:f>Selskabsøkonomi!$A$6</c:f>
              <c:strCache>
                <c:ptCount val="1"/>
                <c:pt idx="0">
                  <c:v>Årlig ydelse pr. år pr. husstand inkl VP i år 0 og år 15 og D&amp;V for alle deltagende husstande</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numRef>
              <c:f>Selskabsøkonomi!$D$2:$AG$2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Selskabsøkonomi!$D$6:$AG$6</c:f>
              <c:numCache>
                <c:formatCode>#,##0</c:formatCode>
                <c:ptCount val="30"/>
                <c:pt idx="0">
                  <c:v>935117.62100510322</c:v>
                </c:pt>
                <c:pt idx="1">
                  <c:v>935117.62100510322</c:v>
                </c:pt>
                <c:pt idx="2">
                  <c:v>935117.62100510322</c:v>
                </c:pt>
                <c:pt idx="3">
                  <c:v>935117.62100510322</c:v>
                </c:pt>
                <c:pt idx="4">
                  <c:v>935117.62100510322</c:v>
                </c:pt>
                <c:pt idx="5">
                  <c:v>935117.62100510322</c:v>
                </c:pt>
                <c:pt idx="6">
                  <c:v>935117.62100510322</c:v>
                </c:pt>
                <c:pt idx="7">
                  <c:v>935117.62100510322</c:v>
                </c:pt>
                <c:pt idx="8">
                  <c:v>935117.62100510322</c:v>
                </c:pt>
                <c:pt idx="9">
                  <c:v>935117.62100510322</c:v>
                </c:pt>
                <c:pt idx="10">
                  <c:v>935117.62100510322</c:v>
                </c:pt>
                <c:pt idx="11">
                  <c:v>935117.62100510322</c:v>
                </c:pt>
                <c:pt idx="12">
                  <c:v>935117.62100510322</c:v>
                </c:pt>
                <c:pt idx="13">
                  <c:v>935117.62100510322</c:v>
                </c:pt>
                <c:pt idx="14">
                  <c:v>935117.62100510322</c:v>
                </c:pt>
                <c:pt idx="15">
                  <c:v>935117.62100510322</c:v>
                </c:pt>
                <c:pt idx="16">
                  <c:v>935117.62100510322</c:v>
                </c:pt>
                <c:pt idx="17">
                  <c:v>935117.62100510322</c:v>
                </c:pt>
                <c:pt idx="18">
                  <c:v>935117.62100510322</c:v>
                </c:pt>
                <c:pt idx="19">
                  <c:v>935117.62100510322</c:v>
                </c:pt>
                <c:pt idx="20">
                  <c:v>935117.62100510322</c:v>
                </c:pt>
                <c:pt idx="21">
                  <c:v>935117.62100510322</c:v>
                </c:pt>
                <c:pt idx="22">
                  <c:v>935117.62100510322</c:v>
                </c:pt>
                <c:pt idx="23">
                  <c:v>935117.62100510322</c:v>
                </c:pt>
                <c:pt idx="24">
                  <c:v>935117.62100510322</c:v>
                </c:pt>
                <c:pt idx="25">
                  <c:v>935117.62100510322</c:v>
                </c:pt>
                <c:pt idx="26">
                  <c:v>935117.62100510322</c:v>
                </c:pt>
                <c:pt idx="27">
                  <c:v>935117.62100510322</c:v>
                </c:pt>
                <c:pt idx="28">
                  <c:v>935117.62100510322</c:v>
                </c:pt>
                <c:pt idx="29">
                  <c:v>935117.62100510322</c:v>
                </c:pt>
              </c:numCache>
            </c:numRef>
          </c:val>
          <c:smooth val="0"/>
          <c:extLst>
            <c:ext xmlns:c16="http://schemas.microsoft.com/office/drawing/2014/chart" uri="{C3380CC4-5D6E-409C-BE32-E72D297353CC}">
              <c16:uniqueId val="{00000000-925A-4FFA-BF5E-2B8406C651AA}"/>
            </c:ext>
          </c:extLst>
        </c:ser>
        <c:ser>
          <c:idx val="1"/>
          <c:order val="1"/>
          <c:tx>
            <c:strRef>
              <c:f>Selskabsøkonomi!$A$24</c:f>
              <c:strCache>
                <c:ptCount val="1"/>
                <c:pt idx="0">
                  <c:v>Total omkostning pr år </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val>
            <c:numRef>
              <c:f>Selskabsøkonomi!$D$24:$AG$24</c:f>
              <c:numCache>
                <c:formatCode>#,##0</c:formatCode>
                <c:ptCount val="30"/>
                <c:pt idx="0">
                  <c:v>689784.28767176974</c:v>
                </c:pt>
                <c:pt idx="1">
                  <c:v>689784.28767176974</c:v>
                </c:pt>
                <c:pt idx="2">
                  <c:v>689784.28767176974</c:v>
                </c:pt>
                <c:pt idx="3">
                  <c:v>689784.28767176974</c:v>
                </c:pt>
                <c:pt idx="4">
                  <c:v>689784.28767176974</c:v>
                </c:pt>
                <c:pt idx="5">
                  <c:v>689784.28767176974</c:v>
                </c:pt>
                <c:pt idx="6">
                  <c:v>689784.28767176974</c:v>
                </c:pt>
                <c:pt idx="7">
                  <c:v>689784.28767176974</c:v>
                </c:pt>
                <c:pt idx="8">
                  <c:v>689784.28767176974</c:v>
                </c:pt>
                <c:pt idx="9">
                  <c:v>689784.28767176974</c:v>
                </c:pt>
                <c:pt idx="10">
                  <c:v>689784.28767176974</c:v>
                </c:pt>
                <c:pt idx="11">
                  <c:v>689784.28767176974</c:v>
                </c:pt>
                <c:pt idx="12">
                  <c:v>689784.28767176974</c:v>
                </c:pt>
                <c:pt idx="13">
                  <c:v>689784.28767176974</c:v>
                </c:pt>
                <c:pt idx="14">
                  <c:v>4369784.287671769</c:v>
                </c:pt>
                <c:pt idx="15">
                  <c:v>689784.28767176974</c:v>
                </c:pt>
                <c:pt idx="16">
                  <c:v>689784.28767176974</c:v>
                </c:pt>
                <c:pt idx="17">
                  <c:v>689784.28767176974</c:v>
                </c:pt>
                <c:pt idx="18">
                  <c:v>689784.28767176974</c:v>
                </c:pt>
                <c:pt idx="19">
                  <c:v>689784.28767176974</c:v>
                </c:pt>
                <c:pt idx="20">
                  <c:v>689784.28767176974</c:v>
                </c:pt>
                <c:pt idx="21">
                  <c:v>689784.28767176974</c:v>
                </c:pt>
                <c:pt idx="22">
                  <c:v>689784.28767176974</c:v>
                </c:pt>
                <c:pt idx="23">
                  <c:v>689784.28767176974</c:v>
                </c:pt>
                <c:pt idx="24">
                  <c:v>689784.28767176974</c:v>
                </c:pt>
                <c:pt idx="25">
                  <c:v>689784.28767176974</c:v>
                </c:pt>
                <c:pt idx="26">
                  <c:v>689784.28767176974</c:v>
                </c:pt>
                <c:pt idx="27">
                  <c:v>689784.28767176974</c:v>
                </c:pt>
                <c:pt idx="28">
                  <c:v>689784.28767176974</c:v>
                </c:pt>
                <c:pt idx="29">
                  <c:v>4369784.287671769</c:v>
                </c:pt>
              </c:numCache>
            </c:numRef>
          </c:val>
          <c:smooth val="0"/>
          <c:extLst>
            <c:ext xmlns:c16="http://schemas.microsoft.com/office/drawing/2014/chart" uri="{C3380CC4-5D6E-409C-BE32-E72D297353CC}">
              <c16:uniqueId val="{00000001-925A-4FFA-BF5E-2B8406C651AA}"/>
            </c:ext>
          </c:extLst>
        </c:ser>
        <c:ser>
          <c:idx val="2"/>
          <c:order val="2"/>
          <c:tx>
            <c:strRef>
              <c:f>Selskabsøkonomi!$A$26</c:f>
              <c:strCache>
                <c:ptCount val="1"/>
                <c:pt idx="0">
                  <c:v>Balance </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Selskabsøkonomi!$D$26:$AG$26</c:f>
              <c:numCache>
                <c:formatCode>#,##0</c:formatCode>
                <c:ptCount val="30"/>
                <c:pt idx="0">
                  <c:v>245333.33333333349</c:v>
                </c:pt>
                <c:pt idx="1">
                  <c:v>245333.33333333349</c:v>
                </c:pt>
                <c:pt idx="2">
                  <c:v>245333.33333333349</c:v>
                </c:pt>
                <c:pt idx="3">
                  <c:v>245333.33333333349</c:v>
                </c:pt>
                <c:pt idx="4">
                  <c:v>245333.33333333349</c:v>
                </c:pt>
                <c:pt idx="5">
                  <c:v>245333.33333333349</c:v>
                </c:pt>
                <c:pt idx="6">
                  <c:v>245333.33333333349</c:v>
                </c:pt>
                <c:pt idx="7">
                  <c:v>245333.33333333349</c:v>
                </c:pt>
                <c:pt idx="8">
                  <c:v>245333.33333333349</c:v>
                </c:pt>
                <c:pt idx="9">
                  <c:v>245333.33333333349</c:v>
                </c:pt>
                <c:pt idx="10">
                  <c:v>245333.33333333349</c:v>
                </c:pt>
                <c:pt idx="11">
                  <c:v>245333.33333333349</c:v>
                </c:pt>
                <c:pt idx="12">
                  <c:v>245333.33333333349</c:v>
                </c:pt>
                <c:pt idx="13">
                  <c:v>245333.33333333349</c:v>
                </c:pt>
                <c:pt idx="14">
                  <c:v>-3434666.666666666</c:v>
                </c:pt>
                <c:pt idx="15">
                  <c:v>245333.33333333349</c:v>
                </c:pt>
                <c:pt idx="16">
                  <c:v>245333.33333333349</c:v>
                </c:pt>
                <c:pt idx="17">
                  <c:v>245333.33333333349</c:v>
                </c:pt>
                <c:pt idx="18">
                  <c:v>245333.33333333349</c:v>
                </c:pt>
                <c:pt idx="19">
                  <c:v>245333.33333333349</c:v>
                </c:pt>
                <c:pt idx="20">
                  <c:v>245333.33333333349</c:v>
                </c:pt>
                <c:pt idx="21">
                  <c:v>245333.33333333349</c:v>
                </c:pt>
                <c:pt idx="22">
                  <c:v>245333.33333333349</c:v>
                </c:pt>
                <c:pt idx="23">
                  <c:v>245333.33333333349</c:v>
                </c:pt>
                <c:pt idx="24">
                  <c:v>245333.33333333349</c:v>
                </c:pt>
                <c:pt idx="25">
                  <c:v>245333.33333333349</c:v>
                </c:pt>
                <c:pt idx="26">
                  <c:v>245333.33333333349</c:v>
                </c:pt>
                <c:pt idx="27">
                  <c:v>245333.33333333349</c:v>
                </c:pt>
                <c:pt idx="28">
                  <c:v>245333.33333333349</c:v>
                </c:pt>
                <c:pt idx="29">
                  <c:v>-3434666.666666666</c:v>
                </c:pt>
              </c:numCache>
            </c:numRef>
          </c:val>
          <c:smooth val="0"/>
          <c:extLst>
            <c:ext xmlns:c16="http://schemas.microsoft.com/office/drawing/2014/chart" uri="{C3380CC4-5D6E-409C-BE32-E72D297353CC}">
              <c16:uniqueId val="{00000002-925A-4FFA-BF5E-2B8406C651AA}"/>
            </c:ext>
          </c:extLst>
        </c:ser>
        <c:ser>
          <c:idx val="3"/>
          <c:order val="3"/>
          <c:tx>
            <c:strRef>
              <c:f>Selskabsøkonomi!$A$27</c:f>
              <c:strCache>
                <c:ptCount val="1"/>
                <c:pt idx="0">
                  <c:v>Akkumuleret kassebeholdning</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Selskabsøkonomi!$D$27:$AG$27</c:f>
              <c:numCache>
                <c:formatCode>#,##0</c:formatCode>
                <c:ptCount val="30"/>
                <c:pt idx="0">
                  <c:v>245333.33333333349</c:v>
                </c:pt>
                <c:pt idx="1">
                  <c:v>490666.66666666698</c:v>
                </c:pt>
                <c:pt idx="2">
                  <c:v>736000.00000000047</c:v>
                </c:pt>
                <c:pt idx="3">
                  <c:v>981333.33333333395</c:v>
                </c:pt>
                <c:pt idx="4">
                  <c:v>1226666.6666666674</c:v>
                </c:pt>
                <c:pt idx="5">
                  <c:v>1472000.0000000009</c:v>
                </c:pt>
                <c:pt idx="6">
                  <c:v>1717333.3333333344</c:v>
                </c:pt>
                <c:pt idx="7">
                  <c:v>1962666.6666666679</c:v>
                </c:pt>
                <c:pt idx="8">
                  <c:v>2208000.0000000014</c:v>
                </c:pt>
                <c:pt idx="9">
                  <c:v>2453333.3333333349</c:v>
                </c:pt>
                <c:pt idx="10">
                  <c:v>2698666.6666666684</c:v>
                </c:pt>
                <c:pt idx="11">
                  <c:v>2944000.0000000019</c:v>
                </c:pt>
                <c:pt idx="12">
                  <c:v>3189333.3333333354</c:v>
                </c:pt>
                <c:pt idx="13">
                  <c:v>3434666.6666666688</c:v>
                </c:pt>
                <c:pt idx="14">
                  <c:v>0</c:v>
                </c:pt>
                <c:pt idx="15">
                  <c:v>245333.33333333349</c:v>
                </c:pt>
                <c:pt idx="16">
                  <c:v>490666.66666666698</c:v>
                </c:pt>
                <c:pt idx="17">
                  <c:v>736000.00000000047</c:v>
                </c:pt>
                <c:pt idx="18">
                  <c:v>981333.33333333395</c:v>
                </c:pt>
                <c:pt idx="19">
                  <c:v>1226666.6666666674</c:v>
                </c:pt>
                <c:pt idx="20">
                  <c:v>1472000.0000000009</c:v>
                </c:pt>
                <c:pt idx="21">
                  <c:v>1717333.3333333344</c:v>
                </c:pt>
                <c:pt idx="22">
                  <c:v>1962666.6666666679</c:v>
                </c:pt>
                <c:pt idx="23">
                  <c:v>2208000.0000000014</c:v>
                </c:pt>
                <c:pt idx="24">
                  <c:v>2453333.3333333349</c:v>
                </c:pt>
                <c:pt idx="25">
                  <c:v>2698666.6666666684</c:v>
                </c:pt>
                <c:pt idx="26">
                  <c:v>2944000.0000000019</c:v>
                </c:pt>
                <c:pt idx="27">
                  <c:v>3189333.3333333354</c:v>
                </c:pt>
                <c:pt idx="28">
                  <c:v>3434666.6666666688</c:v>
                </c:pt>
                <c:pt idx="29">
                  <c:v>0</c:v>
                </c:pt>
              </c:numCache>
            </c:numRef>
          </c:val>
          <c:smooth val="0"/>
          <c:extLst>
            <c:ext xmlns:c16="http://schemas.microsoft.com/office/drawing/2014/chart" uri="{C3380CC4-5D6E-409C-BE32-E72D297353CC}">
              <c16:uniqueId val="{00000003-925A-4FFA-BF5E-2B8406C651AA}"/>
            </c:ext>
          </c:extLst>
        </c:ser>
        <c:dLbls>
          <c:showLegendKey val="0"/>
          <c:showVal val="0"/>
          <c:showCatName val="0"/>
          <c:showSerName val="0"/>
          <c:showPercent val="0"/>
          <c:showBubbleSize val="0"/>
        </c:dLbls>
        <c:smooth val="0"/>
        <c:axId val="1466440432"/>
        <c:axId val="116667552"/>
      </c:lineChart>
      <c:catAx>
        <c:axId val="1466440432"/>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år</a:t>
                </a:r>
              </a:p>
            </c:rich>
          </c:tx>
          <c:layout>
            <c:manualLayout>
              <c:xMode val="edge"/>
              <c:yMode val="edge"/>
              <c:x val="0.97769728410814316"/>
              <c:y val="0.51459968470124806"/>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116667552"/>
        <c:crosses val="autoZero"/>
        <c:auto val="1"/>
        <c:lblAlgn val="ctr"/>
        <c:lblOffset val="100"/>
        <c:noMultiLvlLbl val="0"/>
      </c:catAx>
      <c:valAx>
        <c:axId val="11666755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r>
                  <a:rPr lang="en-US"/>
                  <a:t>kr</a:t>
                </a:r>
              </a:p>
            </c:rich>
          </c:tx>
          <c:layout>
            <c:manualLayout>
              <c:xMode val="edge"/>
              <c:yMode val="edge"/>
              <c:x val="4.975124378109453E-2"/>
              <c:y val="5.1375099851648967E-2"/>
            </c:manualLayout>
          </c:layout>
          <c:overlay val="0"/>
          <c:spPr>
            <a:noFill/>
            <a:ln>
              <a:noFill/>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1466440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Følsomhedsanalyse afhængig af kategori og tilslutningsprocent med 20 MWh/år i varmebehov netto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barChart>
        <c:barDir val="col"/>
        <c:grouping val="clustered"/>
        <c:varyColors val="0"/>
        <c:ser>
          <c:idx val="0"/>
          <c:order val="0"/>
          <c:tx>
            <c:strRef>
              <c:f>Følsomhedsanalyse!$B$5</c:f>
              <c:strCache>
                <c:ptCount val="1"/>
                <c:pt idx="0">
                  <c:v>Max + 20 %</c:v>
                </c:pt>
              </c:strCache>
            </c:strRef>
          </c:tx>
          <c:spPr>
            <a:solidFill>
              <a:srgbClr val="C00000"/>
            </a:solidFill>
            <a:ln>
              <a:noFill/>
            </a:ln>
            <a:effectLst>
              <a:outerShdw blurRad="57150" dist="19050" dir="5400000" algn="ctr" rotWithShape="0">
                <a:srgbClr val="000000">
                  <a:alpha val="63000"/>
                </a:srgbClr>
              </a:outerShdw>
            </a:effectLst>
          </c:spPr>
          <c:invertIfNegative val="0"/>
          <c:cat>
            <c:multiLvlStrRef>
              <c:f>Følsomhedsanalyse!$C$2:$I$4</c:f>
              <c:multiLvlStrCache>
                <c:ptCount val="7"/>
                <c:lvl>
                  <c:pt idx="0">
                    <c:v>kr</c:v>
                  </c:pt>
                  <c:pt idx="1">
                    <c:v>kr/år</c:v>
                  </c:pt>
                  <c:pt idx="2">
                    <c:v>kr</c:v>
                  </c:pt>
                  <c:pt idx="3">
                    <c:v>kr/år</c:v>
                  </c:pt>
                  <c:pt idx="4">
                    <c:v>kr</c:v>
                  </c:pt>
                  <c:pt idx="5">
                    <c:v>kr/år</c:v>
                  </c:pt>
                  <c:pt idx="6">
                    <c:v>%</c:v>
                  </c:pt>
                </c:lvl>
                <c:lvl>
                  <c:pt idx="0">
                    <c:v>Projektpris</c:v>
                  </c:pt>
                  <c:pt idx="1">
                    <c:v>Årlig omk. alt inkl</c:v>
                  </c:pt>
                  <c:pt idx="2">
                    <c:v>Projektpris</c:v>
                  </c:pt>
                  <c:pt idx="3">
                    <c:v>Årlig omk. alt inkl</c:v>
                  </c:pt>
                  <c:pt idx="4">
                    <c:v>Projektpris</c:v>
                  </c:pt>
                  <c:pt idx="5">
                    <c:v>Årlig omk. alt inkl</c:v>
                  </c:pt>
                  <c:pt idx="6">
                    <c:v>tilslutningsprocent af max kapacitet for anlæg + boringer</c:v>
                  </c:pt>
                </c:lvl>
                <c:lvl>
                  <c:pt idx="0">
                    <c:v>kategori 1</c:v>
                  </c:pt>
                  <c:pt idx="1">
                    <c:v>kategori 1</c:v>
                  </c:pt>
                  <c:pt idx="2">
                    <c:v>kategori 2</c:v>
                  </c:pt>
                  <c:pt idx="3">
                    <c:v>kategori 2</c:v>
                  </c:pt>
                  <c:pt idx="4">
                    <c:v>kategori 3</c:v>
                  </c:pt>
                  <c:pt idx="5">
                    <c:v>kategori 3</c:v>
                  </c:pt>
                  <c:pt idx="6">
                    <c:v>alle kategorier</c:v>
                  </c:pt>
                </c:lvl>
              </c:multiLvlStrCache>
            </c:multiLvlStrRef>
          </c:cat>
          <c:val>
            <c:numRef>
              <c:f>Følsomhedsanalyse!$C$5:$I$5</c:f>
              <c:numCache>
                <c:formatCode>_ * #,##0_ ;_ * \-#,##0_ ;_ * "-"??_ ;_ @_ </c:formatCode>
                <c:ptCount val="7"/>
                <c:pt idx="0">
                  <c:v>198000</c:v>
                </c:pt>
                <c:pt idx="1">
                  <c:v>22800</c:v>
                </c:pt>
                <c:pt idx="2">
                  <c:v>246000</c:v>
                </c:pt>
                <c:pt idx="3">
                  <c:v>24600</c:v>
                </c:pt>
                <c:pt idx="4">
                  <c:v>312000</c:v>
                </c:pt>
                <c:pt idx="5">
                  <c:v>27840</c:v>
                </c:pt>
                <c:pt idx="6" formatCode="0%">
                  <c:v>0.5</c:v>
                </c:pt>
              </c:numCache>
            </c:numRef>
          </c:val>
          <c:extLst>
            <c:ext xmlns:c16="http://schemas.microsoft.com/office/drawing/2014/chart" uri="{C3380CC4-5D6E-409C-BE32-E72D297353CC}">
              <c16:uniqueId val="{00000000-4393-4FF2-84E3-394D5BE38E98}"/>
            </c:ext>
          </c:extLst>
        </c:ser>
        <c:ser>
          <c:idx val="1"/>
          <c:order val="1"/>
          <c:tx>
            <c:strRef>
              <c:f>Følsomhedsanalyse!$B$6</c:f>
              <c:strCache>
                <c:ptCount val="1"/>
                <c:pt idx="0">
                  <c:v>Middel</c:v>
                </c:pt>
              </c:strCache>
            </c:strRef>
          </c:tx>
          <c:spPr>
            <a:solidFill>
              <a:schemeClr val="accent4"/>
            </a:solidFill>
            <a:ln>
              <a:noFill/>
            </a:ln>
            <a:effectLst>
              <a:outerShdw blurRad="57150" dist="19050" dir="5400000" algn="ctr" rotWithShape="0">
                <a:srgbClr val="000000">
                  <a:alpha val="63000"/>
                </a:srgbClr>
              </a:outerShdw>
            </a:effectLst>
          </c:spPr>
          <c:invertIfNegative val="0"/>
          <c:cat>
            <c:multiLvlStrRef>
              <c:f>Følsomhedsanalyse!$C$2:$I$4</c:f>
              <c:multiLvlStrCache>
                <c:ptCount val="7"/>
                <c:lvl>
                  <c:pt idx="0">
                    <c:v>kr</c:v>
                  </c:pt>
                  <c:pt idx="1">
                    <c:v>kr/år</c:v>
                  </c:pt>
                  <c:pt idx="2">
                    <c:v>kr</c:v>
                  </c:pt>
                  <c:pt idx="3">
                    <c:v>kr/år</c:v>
                  </c:pt>
                  <c:pt idx="4">
                    <c:v>kr</c:v>
                  </c:pt>
                  <c:pt idx="5">
                    <c:v>kr/år</c:v>
                  </c:pt>
                  <c:pt idx="6">
                    <c:v>%</c:v>
                  </c:pt>
                </c:lvl>
                <c:lvl>
                  <c:pt idx="0">
                    <c:v>Projektpris</c:v>
                  </c:pt>
                  <c:pt idx="1">
                    <c:v>Årlig omk. alt inkl</c:v>
                  </c:pt>
                  <c:pt idx="2">
                    <c:v>Projektpris</c:v>
                  </c:pt>
                  <c:pt idx="3">
                    <c:v>Årlig omk. alt inkl</c:v>
                  </c:pt>
                  <c:pt idx="4">
                    <c:v>Projektpris</c:v>
                  </c:pt>
                  <c:pt idx="5">
                    <c:v>Årlig omk. alt inkl</c:v>
                  </c:pt>
                  <c:pt idx="6">
                    <c:v>tilslutningsprocent af max kapacitet for anlæg + boringer</c:v>
                  </c:pt>
                </c:lvl>
                <c:lvl>
                  <c:pt idx="0">
                    <c:v>kategori 1</c:v>
                  </c:pt>
                  <c:pt idx="1">
                    <c:v>kategori 1</c:v>
                  </c:pt>
                  <c:pt idx="2">
                    <c:v>kategori 2</c:v>
                  </c:pt>
                  <c:pt idx="3">
                    <c:v>kategori 2</c:v>
                  </c:pt>
                  <c:pt idx="4">
                    <c:v>kategori 3</c:v>
                  </c:pt>
                  <c:pt idx="5">
                    <c:v>kategori 3</c:v>
                  </c:pt>
                  <c:pt idx="6">
                    <c:v>alle kategorier</c:v>
                  </c:pt>
                </c:lvl>
              </c:multiLvlStrCache>
            </c:multiLvlStrRef>
          </c:cat>
          <c:val>
            <c:numRef>
              <c:f>Følsomhedsanalyse!$C$6:$I$6</c:f>
              <c:numCache>
                <c:formatCode>_ * #,##0_ ;_ * \-#,##0_ ;_ * "-"??_ ;_ @_ </c:formatCode>
                <c:ptCount val="7"/>
                <c:pt idx="0">
                  <c:v>165000</c:v>
                </c:pt>
                <c:pt idx="1">
                  <c:v>19000</c:v>
                </c:pt>
                <c:pt idx="2">
                  <c:v>205000</c:v>
                </c:pt>
                <c:pt idx="3">
                  <c:v>20500</c:v>
                </c:pt>
                <c:pt idx="4">
                  <c:v>260000</c:v>
                </c:pt>
                <c:pt idx="5">
                  <c:v>23200</c:v>
                </c:pt>
                <c:pt idx="6" formatCode="0%">
                  <c:v>0.75</c:v>
                </c:pt>
              </c:numCache>
            </c:numRef>
          </c:val>
          <c:extLst>
            <c:ext xmlns:c16="http://schemas.microsoft.com/office/drawing/2014/chart" uri="{C3380CC4-5D6E-409C-BE32-E72D297353CC}">
              <c16:uniqueId val="{00000001-4393-4FF2-84E3-394D5BE38E98}"/>
            </c:ext>
          </c:extLst>
        </c:ser>
        <c:ser>
          <c:idx val="2"/>
          <c:order val="2"/>
          <c:tx>
            <c:strRef>
              <c:f>Følsomhedsanalyse!$B$7</c:f>
              <c:strCache>
                <c:ptCount val="1"/>
                <c:pt idx="0">
                  <c:v>Min -20 %</c:v>
                </c:pt>
              </c:strCache>
            </c:strRef>
          </c:tx>
          <c:spPr>
            <a:solidFill>
              <a:schemeClr val="accent6"/>
            </a:solidFill>
            <a:ln>
              <a:noFill/>
            </a:ln>
            <a:effectLst>
              <a:outerShdw blurRad="57150" dist="19050" dir="5400000" algn="ctr" rotWithShape="0">
                <a:srgbClr val="000000">
                  <a:alpha val="63000"/>
                </a:srgbClr>
              </a:outerShdw>
            </a:effectLst>
          </c:spPr>
          <c:invertIfNegative val="0"/>
          <c:cat>
            <c:multiLvlStrRef>
              <c:f>Følsomhedsanalyse!$C$2:$I$4</c:f>
              <c:multiLvlStrCache>
                <c:ptCount val="7"/>
                <c:lvl>
                  <c:pt idx="0">
                    <c:v>kr</c:v>
                  </c:pt>
                  <c:pt idx="1">
                    <c:v>kr/år</c:v>
                  </c:pt>
                  <c:pt idx="2">
                    <c:v>kr</c:v>
                  </c:pt>
                  <c:pt idx="3">
                    <c:v>kr/år</c:v>
                  </c:pt>
                  <c:pt idx="4">
                    <c:v>kr</c:v>
                  </c:pt>
                  <c:pt idx="5">
                    <c:v>kr/år</c:v>
                  </c:pt>
                  <c:pt idx="6">
                    <c:v>%</c:v>
                  </c:pt>
                </c:lvl>
                <c:lvl>
                  <c:pt idx="0">
                    <c:v>Projektpris</c:v>
                  </c:pt>
                  <c:pt idx="1">
                    <c:v>Årlig omk. alt inkl</c:v>
                  </c:pt>
                  <c:pt idx="2">
                    <c:v>Projektpris</c:v>
                  </c:pt>
                  <c:pt idx="3">
                    <c:v>Årlig omk. alt inkl</c:v>
                  </c:pt>
                  <c:pt idx="4">
                    <c:v>Projektpris</c:v>
                  </c:pt>
                  <c:pt idx="5">
                    <c:v>Årlig omk. alt inkl</c:v>
                  </c:pt>
                  <c:pt idx="6">
                    <c:v>tilslutningsprocent af max kapacitet for anlæg + boringer</c:v>
                  </c:pt>
                </c:lvl>
                <c:lvl>
                  <c:pt idx="0">
                    <c:v>kategori 1</c:v>
                  </c:pt>
                  <c:pt idx="1">
                    <c:v>kategori 1</c:v>
                  </c:pt>
                  <c:pt idx="2">
                    <c:v>kategori 2</c:v>
                  </c:pt>
                  <c:pt idx="3">
                    <c:v>kategori 2</c:v>
                  </c:pt>
                  <c:pt idx="4">
                    <c:v>kategori 3</c:v>
                  </c:pt>
                  <c:pt idx="5">
                    <c:v>kategori 3</c:v>
                  </c:pt>
                  <c:pt idx="6">
                    <c:v>alle kategorier</c:v>
                  </c:pt>
                </c:lvl>
              </c:multiLvlStrCache>
            </c:multiLvlStrRef>
          </c:cat>
          <c:val>
            <c:numRef>
              <c:f>Følsomhedsanalyse!$C$7:$I$7</c:f>
              <c:numCache>
                <c:formatCode>_ * #,##0_ ;_ * \-#,##0_ ;_ * "-"??_ ;_ @_ </c:formatCode>
                <c:ptCount val="7"/>
                <c:pt idx="0">
                  <c:v>132000</c:v>
                </c:pt>
                <c:pt idx="1">
                  <c:v>15200</c:v>
                </c:pt>
                <c:pt idx="2">
                  <c:v>164000</c:v>
                </c:pt>
                <c:pt idx="3">
                  <c:v>16400</c:v>
                </c:pt>
                <c:pt idx="4">
                  <c:v>208000</c:v>
                </c:pt>
                <c:pt idx="5">
                  <c:v>18560</c:v>
                </c:pt>
                <c:pt idx="6" formatCode="0%">
                  <c:v>1</c:v>
                </c:pt>
              </c:numCache>
            </c:numRef>
          </c:val>
          <c:extLst>
            <c:ext xmlns:c16="http://schemas.microsoft.com/office/drawing/2014/chart" uri="{C3380CC4-5D6E-409C-BE32-E72D297353CC}">
              <c16:uniqueId val="{00000003-4393-4FF2-84E3-394D5BE38E98}"/>
            </c:ext>
          </c:extLst>
        </c:ser>
        <c:dLbls>
          <c:showLegendKey val="0"/>
          <c:showVal val="0"/>
          <c:showCatName val="0"/>
          <c:showSerName val="0"/>
          <c:showPercent val="0"/>
          <c:showBubbleSize val="0"/>
        </c:dLbls>
        <c:gapWidth val="100"/>
        <c:overlap val="-24"/>
        <c:axId val="543427503"/>
        <c:axId val="623518927"/>
      </c:barChart>
      <c:catAx>
        <c:axId val="543427503"/>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623518927"/>
        <c:crosses val="autoZero"/>
        <c:auto val="1"/>
        <c:lblAlgn val="ctr"/>
        <c:lblOffset val="100"/>
        <c:noMultiLvlLbl val="0"/>
      </c:catAx>
      <c:valAx>
        <c:axId val="623518927"/>
        <c:scaling>
          <c:orientation val="minMax"/>
        </c:scaling>
        <c:delete val="0"/>
        <c:axPos val="l"/>
        <c:majorGridlines>
          <c:spPr>
            <a:ln w="9525" cap="flat" cmpd="sng" algn="ctr">
              <a:solidFill>
                <a:schemeClr val="lt1">
                  <a:lumMod val="95000"/>
                  <a:alpha val="10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crossAx val="543427503"/>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da-DK"/>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a:t>Investeringsfordeling med de deltagende husstande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pieChart>
        <c:varyColors val="1"/>
        <c:ser>
          <c:idx val="0"/>
          <c:order val="0"/>
          <c:explosion val="9"/>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BD08-4A85-B873-4419C28DB85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BD08-4A85-B873-4419C28DB85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BD08-4A85-B873-4419C28DB85E}"/>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BD08-4A85-B873-4419C28DB85E}"/>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BD08-4A85-B873-4419C28DB85E}"/>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BD08-4A85-B873-4419C28DB85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da-DK"/>
              </a:p>
            </c:txPr>
            <c:showLegendKey val="0"/>
            <c:showVal val="1"/>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Fællesindtastning!$A$43:$A$48</c:f>
              <c:strCache>
                <c:ptCount val="6"/>
                <c:pt idx="0">
                  <c:v>Tilslutningsbidrag for tilkoblede husstande</c:v>
                </c:pt>
                <c:pt idx="1">
                  <c:v>Investeringsbehov for boringspar1 3:</c:v>
                </c:pt>
                <c:pt idx="2">
                  <c:v>Investeringsbehov for Infrastruktur2:</c:v>
                </c:pt>
                <c:pt idx="3">
                  <c:v>Investeringsbehov for varmepumper år 0:</c:v>
                </c:pt>
                <c:pt idx="4">
                  <c:v>Investeringsbehov for rådgivning5:</c:v>
                </c:pt>
                <c:pt idx="5">
                  <c:v>Energibesparelse &amp; andet tilskud:</c:v>
                </c:pt>
              </c:strCache>
            </c:strRef>
          </c:cat>
          <c:val>
            <c:numRef>
              <c:f>Fællesindtastning!$D$43:$D$48</c:f>
              <c:numCache>
                <c:formatCode>#,##0</c:formatCode>
                <c:ptCount val="6"/>
                <c:pt idx="0">
                  <c:v>0</c:v>
                </c:pt>
                <c:pt idx="1">
                  <c:v>1500000</c:v>
                </c:pt>
                <c:pt idx="2">
                  <c:v>8250000</c:v>
                </c:pt>
                <c:pt idx="3">
                  <c:v>8234000</c:v>
                </c:pt>
                <c:pt idx="4">
                  <c:v>1798400</c:v>
                </c:pt>
                <c:pt idx="5">
                  <c:v>-683418.79795396398</c:v>
                </c:pt>
              </c:numCache>
            </c:numRef>
          </c:val>
          <c:extLst>
            <c:ext xmlns:c16="http://schemas.microsoft.com/office/drawing/2014/chart" uri="{C3380CC4-5D6E-409C-BE32-E72D297353CC}">
              <c16:uniqueId val="{0000000C-BD08-4A85-B873-4419C28DB85E}"/>
            </c:ext>
          </c:extLst>
        </c:ser>
        <c:dLbls>
          <c:showLegendKey val="0"/>
          <c:showVal val="0"/>
          <c:showCatName val="0"/>
          <c:showSerName val="0"/>
          <c:showPercent val="0"/>
          <c:showBubbleSize val="0"/>
          <c:showLeaderLines val="1"/>
        </c:dLbls>
        <c:firstSliceAng val="13"/>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609599</xdr:colOff>
      <xdr:row>2</xdr:row>
      <xdr:rowOff>0</xdr:rowOff>
    </xdr:from>
    <xdr:to>
      <xdr:col>20</xdr:col>
      <xdr:colOff>180974</xdr:colOff>
      <xdr:row>16</xdr:row>
      <xdr:rowOff>38100</xdr:rowOff>
    </xdr:to>
    <xdr:sp macro="" textlink="">
      <xdr:nvSpPr>
        <xdr:cNvPr id="2" name="Tekstfelt 1">
          <a:extLst>
            <a:ext uri="{FF2B5EF4-FFF2-40B4-BE49-F238E27FC236}">
              <a16:creationId xmlns:a16="http://schemas.microsoft.com/office/drawing/2014/main" id="{00000000-0008-0000-0000-000002000000}"/>
            </a:ext>
          </a:extLst>
        </xdr:cNvPr>
        <xdr:cNvSpPr txBox="1">
          <a:spLocks noChangeArrowheads="1"/>
        </xdr:cNvSpPr>
      </xdr:nvSpPr>
      <xdr:spPr bwMode="auto">
        <a:xfrm>
          <a:off x="609599" y="381000"/>
          <a:ext cx="11763375" cy="27051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r>
            <a:rPr lang="da-DK" sz="1400" b="1">
              <a:effectLst/>
              <a:latin typeface="+mn-lt"/>
              <a:ea typeface="+mn-ea"/>
              <a:cs typeface="+mn-cs"/>
            </a:rPr>
            <a:t>Retningslinjer vedrørende brug af dette beregningsværktøj</a:t>
          </a:r>
          <a:r>
            <a:rPr lang="da-DK" sz="1400">
              <a:effectLst/>
              <a:latin typeface="+mn-lt"/>
              <a:ea typeface="+mn-ea"/>
              <a:cs typeface="+mn-cs"/>
            </a:rPr>
            <a:t>:</a:t>
          </a:r>
          <a:endParaRPr lang="da-DK" sz="1400">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da-DK" sz="1400" baseline="0">
              <a:effectLst/>
              <a:latin typeface="+mn-lt"/>
              <a:ea typeface="+mn-ea"/>
              <a:cs typeface="+mn-cs"/>
            </a:rPr>
            <a:t>Beregningsværktøjet er udarbejdet i forbindelse med ELFORSK projektet: Landsbyvarme med varmepumper og ATES - nr. 346-013</a:t>
          </a:r>
        </a:p>
        <a:p>
          <a:pPr marL="342900" lvl="0" indent="-342900">
            <a:lnSpc>
              <a:spcPct val="107000"/>
            </a:lnSpc>
            <a:spcAft>
              <a:spcPts val="0"/>
            </a:spcAft>
            <a:buFont typeface="+mj-lt"/>
            <a:buAutoNum type="arabicPeriod"/>
          </a:pPr>
          <a:r>
            <a:rPr lang="da-DK" sz="1400" baseline="0">
              <a:effectLst/>
              <a:latin typeface="+mn-lt"/>
              <a:ea typeface="+mn-ea"/>
              <a:cs typeface="+mn-cs"/>
            </a:rPr>
            <a:t>Beregningsværktøjet er udarbejdet af Enopsol A/S og EWII A/S, med input fra 4 deltagende kommuner: Middelfart, Kolding, Holbæk og Gribskov.</a:t>
          </a:r>
        </a:p>
        <a:p>
          <a:pPr marL="342900" lvl="0" indent="-342900">
            <a:lnSpc>
              <a:spcPct val="107000"/>
            </a:lnSpc>
            <a:spcAft>
              <a:spcPts val="0"/>
            </a:spcAft>
            <a:buFont typeface="+mj-lt"/>
            <a:buAutoNum type="arabicPeriod"/>
          </a:pPr>
          <a:r>
            <a:rPr lang="da-DK" sz="1400" baseline="0">
              <a:effectLst/>
              <a:latin typeface="+mn-lt"/>
              <a:ea typeface="+mn-ea"/>
              <a:cs typeface="+mn-cs"/>
            </a:rPr>
            <a:t>Beregningsværktøjet er udarbejdet som et screeningsværktøj til at vurdere om varmepumper med ATES er en mulig løsning.</a:t>
          </a:r>
        </a:p>
        <a:p>
          <a:pPr marL="342900" lvl="0" indent="-342900">
            <a:lnSpc>
              <a:spcPct val="107000"/>
            </a:lnSpc>
            <a:spcAft>
              <a:spcPts val="0"/>
            </a:spcAft>
            <a:buFont typeface="+mj-lt"/>
            <a:buAutoNum type="arabicPeriod"/>
          </a:pPr>
          <a:r>
            <a:rPr lang="da-DK" sz="1400" baseline="0">
              <a:effectLst/>
              <a:latin typeface="+mn-lt"/>
              <a:ea typeface="+mn-ea"/>
              <a:cs typeface="+mn-cs"/>
            </a:rPr>
            <a:t>Beregningsværktøjets økonomiske og tekniske beregninger er med udgangspunkt i energistyrelsens teknologikatalog samt vejledende energipriser som kan tilpasses til lokale forhold.</a:t>
          </a:r>
        </a:p>
        <a:p>
          <a:pPr marL="342900" lvl="0" indent="-342900">
            <a:lnSpc>
              <a:spcPct val="107000"/>
            </a:lnSpc>
            <a:spcAft>
              <a:spcPts val="0"/>
            </a:spcAft>
            <a:buFont typeface="+mj-lt"/>
            <a:buAutoNum type="arabicPeriod"/>
          </a:pPr>
          <a:r>
            <a:rPr lang="da-DK" sz="1400" baseline="0">
              <a:effectLst/>
              <a:latin typeface="+mn-lt"/>
              <a:ea typeface="+mn-ea"/>
              <a:cs typeface="+mn-cs"/>
            </a:rPr>
            <a:t>Beregningsværktøjet er ikke designet til at være gyldig dokumentation for dimensionering af ATES anlæg eller projektansøgning til kommunale instanser.</a:t>
          </a:r>
        </a:p>
        <a:p>
          <a:pPr marL="342900" lvl="0" indent="-342900">
            <a:lnSpc>
              <a:spcPct val="107000"/>
            </a:lnSpc>
            <a:spcAft>
              <a:spcPts val="0"/>
            </a:spcAft>
            <a:buFont typeface="+mj-lt"/>
            <a:buAutoNum type="arabicPeriod"/>
          </a:pPr>
          <a:r>
            <a:rPr lang="da-DK" sz="1400" baseline="0">
              <a:effectLst/>
              <a:latin typeface="+mn-lt"/>
              <a:ea typeface="+mn-ea"/>
              <a:cs typeface="+mn-cs"/>
            </a:rPr>
            <a:t>De involverede parter af beregningsværktøjet fraskriver sig ansvaret fejlagtig brug af arket. Arket er et screeningsværktøj hvorpå der vil være generaliseret ift. flere forhold, derfor kan beregningsværktøjets output ikke betragtes som endeligt svar på en konkret case beregning, men er et retvisende bud.</a:t>
          </a:r>
        </a:p>
        <a:p>
          <a:pPr marL="342900" lvl="0" indent="-342900">
            <a:lnSpc>
              <a:spcPct val="107000"/>
            </a:lnSpc>
            <a:spcAft>
              <a:spcPts val="0"/>
            </a:spcAft>
            <a:buFont typeface="+mj-lt"/>
            <a:buAutoNum type="arabicPeriod"/>
          </a:pPr>
          <a:r>
            <a:rPr lang="da-DK" sz="1400" baseline="0">
              <a:effectLst/>
              <a:latin typeface="+mn-lt"/>
              <a:ea typeface="+mn-ea"/>
              <a:cs typeface="+mn-cs"/>
            </a:rPr>
            <a:t>Beregningsværktøjet kan ikke erstatte vejledning fra sagkyndig rådgiver, og kan heller ikke erstatte en sagkyndiges vurdering af projekt økonomi.</a:t>
          </a:r>
        </a:p>
        <a:p>
          <a:pPr marL="342900" lvl="0" indent="-342900">
            <a:lnSpc>
              <a:spcPct val="107000"/>
            </a:lnSpc>
            <a:spcAft>
              <a:spcPts val="800"/>
            </a:spcAft>
            <a:buFont typeface="+mj-lt"/>
            <a:buAutoNum type="arabicPeriod"/>
          </a:pPr>
          <a:endParaRPr lang="da-DK" sz="1100" baseline="0">
            <a:effectLst/>
            <a:latin typeface="+mn-lt"/>
            <a:ea typeface="+mn-ea"/>
            <a:cs typeface="+mn-cs"/>
          </a:endParaRPr>
        </a:p>
        <a:p>
          <a:pPr marL="342900" lvl="0" indent="-342900">
            <a:lnSpc>
              <a:spcPct val="107000"/>
            </a:lnSpc>
            <a:spcAft>
              <a:spcPts val="800"/>
            </a:spcAft>
            <a:buFont typeface="+mj-lt"/>
            <a:buAutoNum type="arabicPeriod"/>
          </a:pPr>
          <a:endParaRPr lang="da-DK" sz="1100" baseline="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142172</xdr:colOff>
      <xdr:row>6</xdr:row>
      <xdr:rowOff>21996</xdr:rowOff>
    </xdr:from>
    <xdr:to>
      <xdr:col>27</xdr:col>
      <xdr:colOff>415877</xdr:colOff>
      <xdr:row>36</xdr:row>
      <xdr:rowOff>114094</xdr:rowOff>
    </xdr:to>
    <xdr:pic>
      <xdr:nvPicPr>
        <xdr:cNvPr id="2" name="Billed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515522" y="1288821"/>
          <a:ext cx="7587000" cy="5852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19050</xdr:colOff>
          <xdr:row>48</xdr:row>
          <xdr:rowOff>57150</xdr:rowOff>
        </xdr:from>
        <xdr:to>
          <xdr:col>7</xdr:col>
          <xdr:colOff>2390775</xdr:colOff>
          <xdr:row>59</xdr:row>
          <xdr:rowOff>47625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7</xdr:col>
      <xdr:colOff>13831</xdr:colOff>
      <xdr:row>14</xdr:row>
      <xdr:rowOff>72886</xdr:rowOff>
    </xdr:from>
    <xdr:to>
      <xdr:col>15</xdr:col>
      <xdr:colOff>152400</xdr:colOff>
      <xdr:row>42</xdr:row>
      <xdr:rowOff>66675</xdr:rowOff>
    </xdr:to>
    <xdr:sp macro="" textlink="">
      <xdr:nvSpPr>
        <xdr:cNvPr id="5" name="Tekstfelt 4">
          <a:extLst>
            <a:ext uri="{FF2B5EF4-FFF2-40B4-BE49-F238E27FC236}">
              <a16:creationId xmlns:a16="http://schemas.microsoft.com/office/drawing/2014/main" id="{00000000-0008-0000-0100-000005000000}"/>
            </a:ext>
          </a:extLst>
        </xdr:cNvPr>
        <xdr:cNvSpPr txBox="1">
          <a:spLocks noChangeArrowheads="1"/>
        </xdr:cNvSpPr>
      </xdr:nvSpPr>
      <xdr:spPr bwMode="auto">
        <a:xfrm>
          <a:off x="11586706" y="2901811"/>
          <a:ext cx="11749544" cy="54135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r>
            <a:rPr lang="da-DK" sz="1400" b="1">
              <a:effectLst/>
              <a:latin typeface="+mn-lt"/>
              <a:ea typeface="+mn-ea"/>
              <a:cs typeface="+mn-cs"/>
            </a:rPr>
            <a:t>Faktaboks om forudsætninger</a:t>
          </a:r>
          <a:r>
            <a:rPr lang="da-DK" sz="1400">
              <a:effectLst/>
              <a:latin typeface="+mn-lt"/>
              <a:ea typeface="+mn-ea"/>
              <a:cs typeface="+mn-cs"/>
            </a:rPr>
            <a:t>:</a:t>
          </a:r>
          <a:endParaRPr lang="da-DK" sz="1400">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da-DK" sz="1400" baseline="0">
              <a:effectLst/>
              <a:latin typeface="+mn-lt"/>
              <a:ea typeface="+mn-ea"/>
              <a:cs typeface="+mn-cs"/>
            </a:rPr>
            <a:t>Samtidighedsfaktor for varmebehovet betragtes som: 1 hvis &lt;20 huse, 0,8 hvis &lt;45 huse og 0,64 hvis &gt;45 huse. Dette er jf. fjernvarmen normer for samtidighedsfaktor, som kan ses nedenunder. Dette danner også grundlag for investeringen af projektet, dette følger ligeledes fjernvarmesektorens praksis.</a:t>
          </a:r>
        </a:p>
        <a:p>
          <a:pPr marL="342900" marR="0" lvl="0" indent="-342900" defTabSz="914400" eaLnBrk="1" fontAlgn="auto" latinLnBrk="0" hangingPunct="1">
            <a:lnSpc>
              <a:spcPct val="107000"/>
            </a:lnSpc>
            <a:spcBef>
              <a:spcPts val="0"/>
            </a:spcBef>
            <a:spcAft>
              <a:spcPts val="800"/>
            </a:spcAft>
            <a:buClrTx/>
            <a:buSzTx/>
            <a:buFont typeface="+mj-lt"/>
            <a:buAutoNum type="arabicPeriod"/>
            <a:tabLst/>
            <a:defRPr/>
          </a:pPr>
          <a:r>
            <a:rPr lang="da-DK" sz="1400" baseline="0">
              <a:effectLst/>
              <a:latin typeface="+mn-lt"/>
              <a:ea typeface="+mn-ea"/>
              <a:cs typeface="+mn-cs"/>
            </a:rPr>
            <a:t>Regnearket forudsætter en almindelig bygningstæthed i byen - dette vil have betydning for omkostningen for infrastrukturen. Med udgangs i et konkret projekt regnes der med gns. 25 m rørgrav pr. husstand samt 60 m rørlægning pr. husstand i varierende dimensioner som udgør fordelingsnettet (excl. stikledning på ca. 20 m stikledning pr. husstand). For eksemplificeren kan skitsetegningen til højre vise et konkret projekt for 161 standardhuse. Dette svarer infrastrukturmæssigt til Kategori 1 i nedenstående visualisering af tæthedskategorier.</a:t>
          </a:r>
        </a:p>
        <a:p>
          <a:pPr marL="342900" lvl="0" indent="-342900">
            <a:lnSpc>
              <a:spcPct val="107000"/>
            </a:lnSpc>
            <a:spcAft>
              <a:spcPts val="800"/>
            </a:spcAft>
            <a:buFont typeface="+mj-lt"/>
            <a:buAutoNum type="arabicPeriod"/>
          </a:pPr>
          <a:r>
            <a:rPr lang="da-DK" sz="1400" baseline="0">
              <a:effectLst/>
              <a:latin typeface="+mn-lt"/>
              <a:ea typeface="+mn-ea"/>
              <a:cs typeface="+mn-cs"/>
            </a:rPr>
            <a:t>Investeringsbehov for boringspar er beregnet ud fra at boringsparret kan opnå et flow på 50 m³/h, med en afkøling på op til 7°C i spidsbelastning. Dette er en væsentlig parameter og der skal laves en forundersøgelse af undergrunden inden der laves en projektansøgning.</a:t>
          </a:r>
        </a:p>
        <a:p>
          <a:pPr marL="342900" lvl="0" indent="-342900">
            <a:lnSpc>
              <a:spcPct val="107000"/>
            </a:lnSpc>
            <a:spcAft>
              <a:spcPts val="800"/>
            </a:spcAft>
            <a:buFont typeface="+mj-lt"/>
            <a:buAutoNum type="arabicPeriod"/>
          </a:pPr>
          <a:r>
            <a:rPr lang="da-DK" sz="1400" baseline="0">
              <a:effectLst/>
              <a:latin typeface="+mn-lt"/>
              <a:ea typeface="+mn-ea"/>
              <a:cs typeface="+mn-cs"/>
            </a:rPr>
            <a:t>Det dimensionerende varmebehov er beregnet ud fra et varmtvandsbehov svarende til 20% af det totale varmebehov med en buffertank lagt ud efter vandnormen for parcelhuse. Til denne beregning benyttes DMI's graddagstal for normår (3037 graddage).</a:t>
          </a:r>
        </a:p>
        <a:p>
          <a:pPr marL="342900" lvl="0" indent="-342900">
            <a:lnSpc>
              <a:spcPct val="107000"/>
            </a:lnSpc>
            <a:spcAft>
              <a:spcPts val="800"/>
            </a:spcAft>
            <a:buFont typeface="+mj-lt"/>
            <a:buAutoNum type="arabicPeriod"/>
          </a:pPr>
          <a:r>
            <a:rPr lang="da-DK" sz="1400" baseline="0">
              <a:effectLst/>
              <a:latin typeface="+mn-lt"/>
              <a:ea typeface="+mn-ea"/>
              <a:cs typeface="+mn-cs"/>
            </a:rPr>
            <a:t>Rådgivning anses som nødvendigt for projektet og investeringen i denne ligges til som 10% af projektsummen.</a:t>
          </a:r>
        </a:p>
        <a:p>
          <a:pPr marL="342900" lvl="0" indent="-342900">
            <a:lnSpc>
              <a:spcPct val="107000"/>
            </a:lnSpc>
            <a:spcAft>
              <a:spcPts val="800"/>
            </a:spcAft>
            <a:buFont typeface="+mj-lt"/>
            <a:buAutoNum type="arabicPeriod"/>
          </a:pPr>
          <a:r>
            <a:rPr lang="da-DK" sz="1400" baseline="0">
              <a:effectLst/>
              <a:latin typeface="+mn-lt"/>
              <a:ea typeface="+mn-ea"/>
              <a:cs typeface="+mn-cs"/>
            </a:rPr>
            <a:t>Dette program tager ikke hensyn til ændringer, opgraderinger eller etablering af et vandbåret varmesystem. Det forudsættes at det eksisterende varmefordelingssystem er brugbart for projektet.</a:t>
          </a:r>
        </a:p>
        <a:p>
          <a:pPr marL="342900" lvl="0" indent="-342900">
            <a:lnSpc>
              <a:spcPct val="107000"/>
            </a:lnSpc>
            <a:spcAft>
              <a:spcPts val="800"/>
            </a:spcAft>
            <a:buFont typeface="+mj-lt"/>
            <a:buAutoNum type="arabicPeriod"/>
          </a:pPr>
          <a:r>
            <a:rPr lang="da-DK" sz="1400" baseline="0">
              <a:effectLst/>
              <a:latin typeface="+mn-lt"/>
              <a:ea typeface="+mn-ea"/>
              <a:cs typeface="+mn-cs"/>
            </a:rPr>
            <a:t>CO2 besparelser beregnes ud fra Energistyrelsens publicerede værdier årgang 2019.</a:t>
          </a:r>
        </a:p>
        <a:p>
          <a:pPr marL="342900" lvl="0" indent="-342900">
            <a:lnSpc>
              <a:spcPct val="107000"/>
            </a:lnSpc>
            <a:spcAft>
              <a:spcPts val="800"/>
            </a:spcAft>
            <a:buFont typeface="+mj-lt"/>
            <a:buAutoNum type="arabicPeriod"/>
          </a:pPr>
          <a:r>
            <a:rPr lang="da-DK" sz="1400" baseline="0">
              <a:effectLst/>
              <a:latin typeface="+mn-lt"/>
              <a:ea typeface="+mn-ea"/>
              <a:cs typeface="+mn-cs"/>
            </a:rPr>
            <a:t>Bemærk at investering i varmepumper er medregnet i fællesinvesteringen, og der er indkalkuleret en totaludskiftning af varmepumpen hvert 15. år som dækkes af den årlige ydelse set over 30 år.</a:t>
          </a:r>
        </a:p>
        <a:p>
          <a:pPr marL="342900" lvl="0" indent="-342900">
            <a:lnSpc>
              <a:spcPct val="107000"/>
            </a:lnSpc>
            <a:spcAft>
              <a:spcPts val="800"/>
            </a:spcAft>
            <a:buFont typeface="+mj-lt"/>
            <a:buAutoNum type="arabicPeriod"/>
          </a:pPr>
          <a:endParaRPr lang="da-DK" sz="1100" baseline="0">
            <a:effectLst/>
            <a:latin typeface="+mn-lt"/>
            <a:ea typeface="+mn-ea"/>
            <a:cs typeface="+mn-cs"/>
          </a:endParaRPr>
        </a:p>
        <a:p>
          <a:pPr marL="342900" lvl="0" indent="-342900">
            <a:lnSpc>
              <a:spcPct val="107000"/>
            </a:lnSpc>
            <a:spcAft>
              <a:spcPts val="800"/>
            </a:spcAft>
            <a:buFont typeface="+mj-lt"/>
            <a:buAutoNum type="arabicPeriod"/>
          </a:pPr>
          <a:endParaRPr lang="da-DK" sz="1100" baseline="0">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7</xdr:col>
          <xdr:colOff>2447925</xdr:colOff>
          <xdr:row>48</xdr:row>
          <xdr:rowOff>76200</xdr:rowOff>
        </xdr:from>
        <xdr:to>
          <xdr:col>8</xdr:col>
          <xdr:colOff>1000125</xdr:colOff>
          <xdr:row>65</xdr:row>
          <xdr:rowOff>104775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76200</xdr:rowOff>
        </xdr:from>
        <xdr:to>
          <xdr:col>14</xdr:col>
          <xdr:colOff>476250</xdr:colOff>
          <xdr:row>70</xdr:row>
          <xdr:rowOff>114300</xdr:rowOff>
        </xdr:to>
        <xdr:sp macro="" textlink="">
          <xdr:nvSpPr>
            <xdr:cNvPr id="1048" name="Object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126206</xdr:colOff>
      <xdr:row>195</xdr:row>
      <xdr:rowOff>183354</xdr:rowOff>
    </xdr:from>
    <xdr:to>
      <xdr:col>12</xdr:col>
      <xdr:colOff>0</xdr:colOff>
      <xdr:row>229</xdr:row>
      <xdr:rowOff>9528</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133769</xdr:colOff>
      <xdr:row>229</xdr:row>
      <xdr:rowOff>42793</xdr:rowOff>
    </xdr:from>
    <xdr:to>
      <xdr:col>12</xdr:col>
      <xdr:colOff>34317</xdr:colOff>
      <xdr:row>262</xdr:row>
      <xdr:rowOff>60933</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421621</xdr:colOff>
      <xdr:row>229</xdr:row>
      <xdr:rowOff>63453</xdr:rowOff>
    </xdr:from>
    <xdr:to>
      <xdr:col>28</xdr:col>
      <xdr:colOff>561694</xdr:colOff>
      <xdr:row>262</xdr:row>
      <xdr:rowOff>62333</xdr:rowOff>
    </xdr:to>
    <xdr:graphicFrame macro="">
      <xdr:nvGraphicFramePr>
        <xdr:cNvPr id="4" name="Diagram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414618</xdr:colOff>
      <xdr:row>195</xdr:row>
      <xdr:rowOff>158000</xdr:rowOff>
    </xdr:from>
    <xdr:to>
      <xdr:col>28</xdr:col>
      <xdr:colOff>493058</xdr:colOff>
      <xdr:row>229</xdr:row>
      <xdr:rowOff>22412</xdr:rowOff>
    </xdr:to>
    <xdr:graphicFrame macro="">
      <xdr:nvGraphicFramePr>
        <xdr:cNvPr id="5" name="Diagram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22860</xdr:colOff>
      <xdr:row>6</xdr:row>
      <xdr:rowOff>30480</xdr:rowOff>
    </xdr:from>
    <xdr:to>
      <xdr:col>13</xdr:col>
      <xdr:colOff>257670</xdr:colOff>
      <xdr:row>37</xdr:row>
      <xdr:rowOff>170724</xdr:rowOff>
    </xdr:to>
    <xdr:pic>
      <xdr:nvPicPr>
        <xdr:cNvPr id="9" name="Billed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8968740" y="2430780"/>
          <a:ext cx="11276190" cy="5809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129540</xdr:colOff>
      <xdr:row>28</xdr:row>
      <xdr:rowOff>7620</xdr:rowOff>
    </xdr:from>
    <xdr:to>
      <xdr:col>24</xdr:col>
      <xdr:colOff>403860</xdr:colOff>
      <xdr:row>54</xdr:row>
      <xdr:rowOff>0</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220980</xdr:colOff>
      <xdr:row>28</xdr:row>
      <xdr:rowOff>7620</xdr:rowOff>
    </xdr:from>
    <xdr:to>
      <xdr:col>9</xdr:col>
      <xdr:colOff>441960</xdr:colOff>
      <xdr:row>53</xdr:row>
      <xdr:rowOff>167640</xdr:rowOff>
    </xdr:to>
    <xdr:graphicFrame macro="">
      <xdr:nvGraphicFramePr>
        <xdr:cNvPr id="3" name="Diagra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8</xdr:row>
      <xdr:rowOff>178115</xdr:rowOff>
    </xdr:from>
    <xdr:to>
      <xdr:col>9</xdr:col>
      <xdr:colOff>1059180</xdr:colOff>
      <xdr:row>30</xdr:row>
      <xdr:rowOff>83820</xdr:rowOff>
    </xdr:to>
    <xdr:graphicFrame macro="">
      <xdr:nvGraphicFramePr>
        <xdr:cNvPr id="2" name="Diagra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57149</xdr:colOff>
      <xdr:row>30</xdr:row>
      <xdr:rowOff>179069</xdr:rowOff>
    </xdr:from>
    <xdr:to>
      <xdr:col>7</xdr:col>
      <xdr:colOff>796290</xdr:colOff>
      <xdr:row>54</xdr:row>
      <xdr:rowOff>22859</xdr:rowOff>
    </xdr:to>
    <xdr:graphicFrame macro="">
      <xdr:nvGraphicFramePr>
        <xdr:cNvPr id="3" name="Diagra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216;konomistyring\EWII\Budget\Budget%202014\Budget%20EWII%202014%20-%20A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pet/Dropbox%20(Trefor)/Elforsk%20-%20Landsbyvarme%20med%20varmepumper%20og%20ATES/Arbejdspakker%20opgaver/AP10/Brainstorm%20til%20inputmodel%20-%2014-05-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6;konomistyring/TREFOR%20Bredb&#229;nd%20AS/Budget%202014/Vers%204/Upload%20i%20AX/Bredb&#229;nd_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01\home\mpet\projekter\VP%20p&#229;%20abonnement\Kopi%20af%20Beregning%20af%20ventilation_ver%2015-05-2017_skabelon%20(version%201).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01\home\mpet\projekter\VP%20p&#229;%20abonnement\Varmepumper%2010%20&#229;rs%20budget%20vers.26%20-%20incl%20intastningsark_18-10-2018.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gnskab/2014/Bredb&#229;nd/Bredb&#229;nd%2031.03.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sbudget"/>
      <sheetName val="Projektbudget - ej indlæst"/>
      <sheetName val="Res"/>
      <sheetName val="Firma 40"/>
      <sheetName val="Fordelinger"/>
      <sheetName val="Budget EWII 2014 - AX"/>
    </sheetNames>
    <sheetDataSet>
      <sheetData sheetId="0"/>
      <sheetData sheetId="1">
        <row r="3">
          <cell r="D3">
            <v>41670</v>
          </cell>
        </row>
        <row r="4">
          <cell r="D4">
            <v>42004</v>
          </cell>
        </row>
        <row r="5">
          <cell r="F5">
            <v>41640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ællesindtastning"/>
      <sheetName val="Privatøkonomi"/>
      <sheetName val="De 10 inputs"/>
      <sheetName val="Privatintastning"/>
      <sheetName val="Indtastningsark"/>
      <sheetName val="beregninger-indtastning (sam)"/>
      <sheetName val="&lt;-- Resultat Kommune"/>
      <sheetName val="Selskabsøkonomi"/>
      <sheetName val="Beregningsark"/>
      <sheetName val="Nøgletal energitæthed"/>
      <sheetName val="Prisdata"/>
      <sheetName val="RC"/>
      <sheetName val="Postnummer"/>
      <sheetName val="Bilag"/>
    </sheetNames>
    <sheetDataSet>
      <sheetData sheetId="0"/>
      <sheetData sheetId="1"/>
      <sheetData sheetId="2"/>
      <sheetData sheetId="3"/>
      <sheetData sheetId="4"/>
      <sheetData sheetId="5"/>
      <sheetData sheetId="6"/>
      <sheetData sheetId="7"/>
      <sheetData sheetId="8"/>
      <sheetData sheetId="9"/>
      <sheetData sheetId="10"/>
      <sheetData sheetId="11">
        <row r="5">
          <cell r="X5">
            <v>2.5</v>
          </cell>
          <cell r="AC5">
            <v>1.095</v>
          </cell>
          <cell r="AD5">
            <v>1978.6</v>
          </cell>
          <cell r="AH5">
            <v>-12</v>
          </cell>
        </row>
        <row r="6">
          <cell r="AC6">
            <v>1</v>
          </cell>
          <cell r="AD6">
            <v>1000</v>
          </cell>
          <cell r="AH6">
            <v>17</v>
          </cell>
        </row>
        <row r="7">
          <cell r="X7">
            <v>11</v>
          </cell>
          <cell r="AC7">
            <v>1.0049999999999999</v>
          </cell>
          <cell r="AD7">
            <v>1.29</v>
          </cell>
        </row>
        <row r="8">
          <cell r="X8">
            <v>2</v>
          </cell>
        </row>
        <row r="12">
          <cell r="D12">
            <v>0.2</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rapporteringsfil"/>
      <sheetName val="Afstemning"/>
      <sheetName val="Budget 2000"/>
      <sheetName val="Budget 2100_Tek-Lev"/>
      <sheetName val="Budget 2200_Support"/>
      <sheetName val="Budget 2300_Salg"/>
      <sheetName val="Pivot"/>
      <sheetName val="Pivot_skat"/>
      <sheetName val="Data samlet"/>
      <sheetName val="Projektbudget"/>
      <sheetName val="Finansbudget"/>
      <sheetName val="Opslag"/>
      <sheetName val="Bredbånd_v02"/>
    </sheetNames>
    <sheetDataSet>
      <sheetData sheetId="0"/>
      <sheetData sheetId="1"/>
      <sheetData sheetId="2">
        <row r="6">
          <cell r="C6">
            <v>2000</v>
          </cell>
        </row>
      </sheetData>
      <sheetData sheetId="3">
        <row r="9">
          <cell r="C9">
            <v>2100</v>
          </cell>
        </row>
      </sheetData>
      <sheetData sheetId="4">
        <row r="5">
          <cell r="C5">
            <v>2200</v>
          </cell>
        </row>
      </sheetData>
      <sheetData sheetId="5">
        <row r="5">
          <cell r="C5">
            <v>2300</v>
          </cell>
        </row>
      </sheetData>
      <sheetData sheetId="6"/>
      <sheetData sheetId="7"/>
      <sheetData sheetId="8"/>
      <sheetData sheetId="9">
        <row r="3">
          <cell r="B3">
            <v>41670</v>
          </cell>
        </row>
        <row r="4">
          <cell r="D4" t="str">
            <v>O-2014</v>
          </cell>
        </row>
      </sheetData>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tastningsark"/>
      <sheetName val="Bilag"/>
      <sheetName val="Udprint"/>
      <sheetName val="Mellem beregning"/>
      <sheetName val="Effektoptag v. regulering"/>
      <sheetName val="Temperatur varighedsdiagram"/>
      <sheetName val="Udtræksdata"/>
      <sheetName val="Virkningsgrad og motor"/>
    </sheetNames>
    <sheetDataSet>
      <sheetData sheetId="0"/>
      <sheetData sheetId="1"/>
      <sheetData sheetId="2"/>
      <sheetData sheetId="3"/>
      <sheetData sheetId="4" refreshError="1"/>
      <sheetData sheetId="5" refreshError="1"/>
      <sheetData sheetId="6">
        <row r="5">
          <cell r="AC5">
            <v>1</v>
          </cell>
        </row>
        <row r="6">
          <cell r="AC6">
            <v>2</v>
          </cell>
        </row>
        <row r="7">
          <cell r="AC7">
            <v>3</v>
          </cell>
        </row>
        <row r="8">
          <cell r="AC8">
            <v>4</v>
          </cell>
        </row>
        <row r="9">
          <cell r="AC9">
            <v>5</v>
          </cell>
        </row>
        <row r="10">
          <cell r="AC10">
            <v>6</v>
          </cell>
        </row>
        <row r="11">
          <cell r="AC11">
            <v>7</v>
          </cell>
        </row>
        <row r="12">
          <cell r="AC12">
            <v>8</v>
          </cell>
        </row>
        <row r="13">
          <cell r="AC13">
            <v>9</v>
          </cell>
        </row>
        <row r="14">
          <cell r="AC14">
            <v>10</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ælger Ark"/>
      <sheetName val="Indtastningsark"/>
      <sheetName val="Kundens økonomi"/>
      <sheetName val="Udprint"/>
      <sheetName val="Regnemaskine"/>
      <sheetName val="10 års budget"/>
      <sheetName val="Potentiale"/>
      <sheetName val="Forretningsmodel"/>
      <sheetName val="Regnskab"/>
      <sheetName val="Udtræksdata"/>
      <sheetName val="COP værdier"/>
      <sheetName val="Mellem beregning"/>
      <sheetName val="Sæsonfordeling"/>
      <sheetName val="Bilag 3"/>
      <sheetName val="Leasing vs selveje"/>
    </sheetNames>
    <sheetDataSet>
      <sheetData sheetId="0"/>
      <sheetData sheetId="1">
        <row r="4">
          <cell r="AE4" t="str">
            <v>Kunde: Frem777
Adresse: Fremvej 777</v>
          </cell>
        </row>
      </sheetData>
      <sheetData sheetId="2"/>
      <sheetData sheetId="3"/>
      <sheetData sheetId="4"/>
      <sheetData sheetId="5"/>
      <sheetData sheetId="6"/>
      <sheetData sheetId="7"/>
      <sheetData sheetId="8"/>
      <sheetData sheetId="9"/>
      <sheetData sheetId="10">
        <row r="8">
          <cell r="BV8" t="str">
            <v>Carrier_61AF_022_Datablad</v>
          </cell>
          <cell r="BW8">
            <v>30</v>
          </cell>
          <cell r="BX8">
            <v>29</v>
          </cell>
          <cell r="BY8">
            <v>28</v>
          </cell>
          <cell r="BZ8">
            <v>27</v>
          </cell>
          <cell r="CA8">
            <v>26</v>
          </cell>
          <cell r="CB8">
            <v>25</v>
          </cell>
          <cell r="CC8">
            <v>24</v>
          </cell>
          <cell r="CD8">
            <v>23</v>
          </cell>
          <cell r="CE8">
            <v>22</v>
          </cell>
          <cell r="CF8">
            <v>21</v>
          </cell>
          <cell r="CG8">
            <v>20</v>
          </cell>
          <cell r="CH8">
            <v>19</v>
          </cell>
          <cell r="CI8">
            <v>18</v>
          </cell>
          <cell r="CJ8">
            <v>17</v>
          </cell>
          <cell r="CK8">
            <v>16</v>
          </cell>
          <cell r="CL8">
            <v>15</v>
          </cell>
          <cell r="CM8">
            <v>14</v>
          </cell>
          <cell r="CN8">
            <v>13</v>
          </cell>
          <cell r="CO8">
            <v>12</v>
          </cell>
          <cell r="CP8">
            <v>11</v>
          </cell>
          <cell r="CQ8">
            <v>10</v>
          </cell>
          <cell r="CR8">
            <v>9</v>
          </cell>
          <cell r="CS8">
            <v>8</v>
          </cell>
          <cell r="CT8">
            <v>7</v>
          </cell>
          <cell r="CU8">
            <v>6</v>
          </cell>
          <cell r="CV8">
            <v>5</v>
          </cell>
          <cell r="CW8">
            <v>4</v>
          </cell>
          <cell r="CX8">
            <v>3</v>
          </cell>
          <cell r="CY8">
            <v>2</v>
          </cell>
          <cell r="CZ8">
            <v>1</v>
          </cell>
          <cell r="DA8">
            <v>0</v>
          </cell>
          <cell r="DB8">
            <v>-1</v>
          </cell>
          <cell r="DC8">
            <v>-2</v>
          </cell>
          <cell r="DD8">
            <v>-3</v>
          </cell>
          <cell r="DE8">
            <v>-4</v>
          </cell>
          <cell r="DF8">
            <v>-5</v>
          </cell>
          <cell r="DG8">
            <v>-6</v>
          </cell>
          <cell r="DH8">
            <v>-7</v>
          </cell>
          <cell r="DI8">
            <v>-8</v>
          </cell>
          <cell r="DJ8">
            <v>-9</v>
          </cell>
          <cell r="DK8">
            <v>-10</v>
          </cell>
          <cell r="DL8">
            <v>-11</v>
          </cell>
          <cell r="DM8">
            <v>-12</v>
          </cell>
          <cell r="DN8">
            <v>-13</v>
          </cell>
          <cell r="DO8">
            <v>-14</v>
          </cell>
          <cell r="DP8">
            <v>-15</v>
          </cell>
          <cell r="DQ8">
            <v>-16</v>
          </cell>
          <cell r="DR8">
            <v>-17</v>
          </cell>
          <cell r="DS8">
            <v>-18</v>
          </cell>
          <cell r="DT8">
            <v>-19</v>
          </cell>
          <cell r="DU8" t="str">
            <v>Udetemp [°C]</v>
          </cell>
        </row>
        <row r="9">
          <cell r="BV9">
            <v>20</v>
          </cell>
          <cell r="BW9">
            <v>4.7575000000000003</v>
          </cell>
          <cell r="BX9">
            <v>4.7489999999999997</v>
          </cell>
          <cell r="BY9">
            <v>4.7404999999999999</v>
          </cell>
          <cell r="BZ9">
            <v>4.7320000000000002</v>
          </cell>
          <cell r="CA9">
            <v>4.7234999999999996</v>
          </cell>
          <cell r="CB9">
            <v>4.7149999999999999</v>
          </cell>
          <cell r="CC9">
            <v>4.7065000000000001</v>
          </cell>
          <cell r="CD9">
            <v>4.6979999999999995</v>
          </cell>
          <cell r="CE9">
            <v>4.6894999999999998</v>
          </cell>
          <cell r="CF9">
            <v>4.681</v>
          </cell>
          <cell r="CG9">
            <v>4.6724999999999994</v>
          </cell>
          <cell r="CH9">
            <v>4.6639999999999997</v>
          </cell>
          <cell r="CI9">
            <v>4.6555</v>
          </cell>
          <cell r="CJ9">
            <v>4.6470000000000002</v>
          </cell>
          <cell r="CK9">
            <v>4.6384999999999996</v>
          </cell>
          <cell r="CL9">
            <v>4.63</v>
          </cell>
          <cell r="CM9">
            <v>4.5674999999999999</v>
          </cell>
          <cell r="CN9">
            <v>4.5049999999999999</v>
          </cell>
          <cell r="CO9">
            <v>4.4424999999999999</v>
          </cell>
          <cell r="CP9">
            <v>4.38</v>
          </cell>
          <cell r="CQ9">
            <v>4.3174999999999999</v>
          </cell>
          <cell r="CR9">
            <v>4.2549999999999999</v>
          </cell>
          <cell r="CS9">
            <v>4.1924999999999999</v>
          </cell>
          <cell r="CT9">
            <v>4.13</v>
          </cell>
          <cell r="CU9">
            <v>4.0464197530864201</v>
          </cell>
          <cell r="CV9">
            <v>3.9628395061728394</v>
          </cell>
          <cell r="CW9">
            <v>3.8792592592592592</v>
          </cell>
          <cell r="CX9">
            <v>3.7956790123456789</v>
          </cell>
          <cell r="CY9">
            <v>3.7120987654320987</v>
          </cell>
          <cell r="CZ9">
            <v>3.6285185185185185</v>
          </cell>
          <cell r="DA9">
            <v>3.5449382716049382</v>
          </cell>
          <cell r="DB9">
            <v>3.461358024691358</v>
          </cell>
          <cell r="DC9">
            <v>3.3777777777777778</v>
          </cell>
          <cell r="DD9">
            <v>3.2822222222222224</v>
          </cell>
          <cell r="DE9">
            <v>3.1866666666666665</v>
          </cell>
          <cell r="DF9">
            <v>3.0911111111111111</v>
          </cell>
          <cell r="DG9">
            <v>2.9955555555555553</v>
          </cell>
          <cell r="DH9">
            <v>2.9</v>
          </cell>
          <cell r="DI9">
            <v>2.8308</v>
          </cell>
          <cell r="DJ9">
            <v>2.7616000000000001</v>
          </cell>
          <cell r="DK9">
            <v>2.6923999999999997</v>
          </cell>
          <cell r="DL9">
            <v>2.6231999999999998</v>
          </cell>
          <cell r="DM9">
            <v>2.5539999999999998</v>
          </cell>
          <cell r="DN9">
            <v>2.4922499999999999</v>
          </cell>
          <cell r="DO9">
            <v>2.4304999999999999</v>
          </cell>
          <cell r="DP9">
            <v>2.3687499999999999</v>
          </cell>
          <cell r="DQ9">
            <v>2.3069999999999999</v>
          </cell>
          <cell r="DR9">
            <v>2.24525</v>
          </cell>
          <cell r="DS9">
            <v>2.1835</v>
          </cell>
          <cell r="DT9">
            <v>2.12175</v>
          </cell>
          <cell r="DU9"/>
        </row>
        <row r="10">
          <cell r="BV10">
            <v>35</v>
          </cell>
          <cell r="BW10">
            <v>4.7575000000000003</v>
          </cell>
          <cell r="BX10">
            <v>4.7489999999999997</v>
          </cell>
          <cell r="BY10">
            <v>4.7404999999999999</v>
          </cell>
          <cell r="BZ10">
            <v>4.7320000000000002</v>
          </cell>
          <cell r="CA10">
            <v>4.7234999999999996</v>
          </cell>
          <cell r="CB10">
            <v>4.7149999999999999</v>
          </cell>
          <cell r="CC10">
            <v>4.7065000000000001</v>
          </cell>
          <cell r="CD10">
            <v>4.6979999999999995</v>
          </cell>
          <cell r="CE10">
            <v>4.6894999999999998</v>
          </cell>
          <cell r="CF10">
            <v>4.681</v>
          </cell>
          <cell r="CG10">
            <v>4.6724999999999994</v>
          </cell>
          <cell r="CH10">
            <v>4.6639999999999997</v>
          </cell>
          <cell r="CI10">
            <v>4.6555</v>
          </cell>
          <cell r="CJ10">
            <v>4.6470000000000002</v>
          </cell>
          <cell r="CK10">
            <v>4.6384999999999996</v>
          </cell>
          <cell r="CL10">
            <v>4.63</v>
          </cell>
          <cell r="CM10">
            <v>4.5674999999999999</v>
          </cell>
          <cell r="CN10">
            <v>4.5049999999999999</v>
          </cell>
          <cell r="CO10">
            <v>4.4424999999999999</v>
          </cell>
          <cell r="CP10">
            <v>4.38</v>
          </cell>
          <cell r="CQ10">
            <v>4.3174999999999999</v>
          </cell>
          <cell r="CR10">
            <v>4.2549999999999999</v>
          </cell>
          <cell r="CS10">
            <v>4.1924999999999999</v>
          </cell>
          <cell r="CT10">
            <v>4.13</v>
          </cell>
          <cell r="CU10">
            <v>4.0464197530864201</v>
          </cell>
          <cell r="CV10">
            <v>3.9628395061728394</v>
          </cell>
          <cell r="CW10">
            <v>3.8792592592592592</v>
          </cell>
          <cell r="CX10">
            <v>3.7956790123456789</v>
          </cell>
          <cell r="CY10">
            <v>3.7120987654320987</v>
          </cell>
          <cell r="CZ10">
            <v>3.6285185185185185</v>
          </cell>
          <cell r="DA10">
            <v>3.5449382716049382</v>
          </cell>
          <cell r="DB10">
            <v>3.461358024691358</v>
          </cell>
          <cell r="DC10">
            <v>3.3777777777777778</v>
          </cell>
          <cell r="DD10">
            <v>3.2822222222222224</v>
          </cell>
          <cell r="DE10">
            <v>3.1866666666666665</v>
          </cell>
          <cell r="DF10">
            <v>3.0911111111111111</v>
          </cell>
          <cell r="DG10">
            <v>2.9955555555555553</v>
          </cell>
          <cell r="DH10">
            <v>2.9</v>
          </cell>
          <cell r="DI10">
            <v>2.8308</v>
          </cell>
          <cell r="DJ10">
            <v>2.7616000000000001</v>
          </cell>
          <cell r="DK10">
            <v>2.6923999999999997</v>
          </cell>
          <cell r="DL10">
            <v>2.6231999999999998</v>
          </cell>
          <cell r="DM10">
            <v>2.5539999999999998</v>
          </cell>
          <cell r="DN10">
            <v>2.4922499999999999</v>
          </cell>
          <cell r="DO10">
            <v>2.4304999999999999</v>
          </cell>
          <cell r="DP10">
            <v>2.3687499999999999</v>
          </cell>
          <cell r="DQ10">
            <v>2.3069999999999999</v>
          </cell>
          <cell r="DR10">
            <v>2.24525</v>
          </cell>
          <cell r="DS10">
            <v>2.1835</v>
          </cell>
          <cell r="DT10">
            <v>2.12175</v>
          </cell>
          <cell r="DU10"/>
        </row>
        <row r="11">
          <cell r="BV11">
            <v>36</v>
          </cell>
          <cell r="BW11">
            <v>4.6914999999999996</v>
          </cell>
          <cell r="BX11">
            <v>4.6829999999999998</v>
          </cell>
          <cell r="BY11">
            <v>4.6745000000000001</v>
          </cell>
          <cell r="BZ11">
            <v>4.6660000000000004</v>
          </cell>
          <cell r="CA11">
            <v>4.6574999999999998</v>
          </cell>
          <cell r="CB11">
            <v>4.649</v>
          </cell>
          <cell r="CC11">
            <v>4.6405000000000003</v>
          </cell>
          <cell r="CD11">
            <v>4.6319999999999997</v>
          </cell>
          <cell r="CE11">
            <v>4.6234999999999999</v>
          </cell>
          <cell r="CF11">
            <v>4.6150000000000002</v>
          </cell>
          <cell r="CG11">
            <v>4.6065000000000005</v>
          </cell>
          <cell r="CH11">
            <v>4.5979999999999999</v>
          </cell>
          <cell r="CI11">
            <v>4.5895000000000001</v>
          </cell>
          <cell r="CJ11">
            <v>4.5810000000000004</v>
          </cell>
          <cell r="CK11">
            <v>4.5724999999999998</v>
          </cell>
          <cell r="CL11">
            <v>4.5640000000000001</v>
          </cell>
          <cell r="CM11">
            <v>4.5004999999999997</v>
          </cell>
          <cell r="CN11">
            <v>4.4379999999999997</v>
          </cell>
          <cell r="CO11">
            <v>4.3754999999999997</v>
          </cell>
          <cell r="CP11">
            <v>4.3129999999999997</v>
          </cell>
          <cell r="CQ11">
            <v>4.2504999999999997</v>
          </cell>
          <cell r="CR11">
            <v>4.1879999999999997</v>
          </cell>
          <cell r="CS11">
            <v>4.1254999999999997</v>
          </cell>
          <cell r="CT11">
            <v>4.0629999999999997</v>
          </cell>
          <cell r="CU11">
            <v>3.9933086419753083</v>
          </cell>
          <cell r="CV11">
            <v>3.9097283950617281</v>
          </cell>
          <cell r="CW11">
            <v>3.8261481481481479</v>
          </cell>
          <cell r="CX11">
            <v>3.7425679012345676</v>
          </cell>
          <cell r="CY11">
            <v>3.6589876543209874</v>
          </cell>
          <cell r="CZ11">
            <v>3.5754074074074071</v>
          </cell>
          <cell r="DA11">
            <v>3.4918271604938269</v>
          </cell>
          <cell r="DB11">
            <v>3.4082469135802467</v>
          </cell>
          <cell r="DC11">
            <v>3.3246666666666664</v>
          </cell>
          <cell r="DD11">
            <v>3.2402222222222226</v>
          </cell>
          <cell r="DE11">
            <v>3.1446666666666667</v>
          </cell>
          <cell r="DF11">
            <v>3.0491111111111113</v>
          </cell>
          <cell r="DG11">
            <v>2.9535555555555555</v>
          </cell>
          <cell r="DH11">
            <v>2.8580000000000001</v>
          </cell>
          <cell r="DI11">
            <v>2.7970000000000002</v>
          </cell>
          <cell r="DJ11">
            <v>2.7278000000000002</v>
          </cell>
          <cell r="DK11">
            <v>2.6585999999999999</v>
          </cell>
          <cell r="DL11">
            <v>2.5893999999999999</v>
          </cell>
          <cell r="DM11">
            <v>2.5202</v>
          </cell>
          <cell r="DN11">
            <v>2.4682499999999998</v>
          </cell>
          <cell r="DO11">
            <v>2.4064999999999999</v>
          </cell>
          <cell r="DP11">
            <v>2.3447499999999999</v>
          </cell>
          <cell r="DQ11">
            <v>2.2829999999999999</v>
          </cell>
          <cell r="DR11">
            <v>2.2212499999999999</v>
          </cell>
          <cell r="DS11">
            <v>2.1595</v>
          </cell>
          <cell r="DT11">
            <v>2.09775</v>
          </cell>
          <cell r="DU11"/>
        </row>
        <row r="12">
          <cell r="BV12">
            <v>37</v>
          </cell>
          <cell r="BW12">
            <v>4.6255000000000006</v>
          </cell>
          <cell r="BX12">
            <v>4.617</v>
          </cell>
          <cell r="BY12">
            <v>4.6085000000000003</v>
          </cell>
          <cell r="BZ12">
            <v>4.6000000000000005</v>
          </cell>
          <cell r="CA12">
            <v>4.5914999999999999</v>
          </cell>
          <cell r="CB12">
            <v>4.5830000000000002</v>
          </cell>
          <cell r="CC12">
            <v>4.5745000000000005</v>
          </cell>
          <cell r="CD12">
            <v>4.5659999999999998</v>
          </cell>
          <cell r="CE12">
            <v>4.5575000000000001</v>
          </cell>
          <cell r="CF12">
            <v>4.5490000000000004</v>
          </cell>
          <cell r="CG12">
            <v>4.5404999999999998</v>
          </cell>
          <cell r="CH12">
            <v>4.532</v>
          </cell>
          <cell r="CI12">
            <v>4.5235000000000003</v>
          </cell>
          <cell r="CJ12">
            <v>4.5150000000000006</v>
          </cell>
          <cell r="CK12">
            <v>4.5065</v>
          </cell>
          <cell r="CL12">
            <v>4.4980000000000002</v>
          </cell>
          <cell r="CM12">
            <v>4.4335000000000004</v>
          </cell>
          <cell r="CN12">
            <v>4.3710000000000004</v>
          </cell>
          <cell r="CO12">
            <v>4.3085000000000004</v>
          </cell>
          <cell r="CP12">
            <v>4.2460000000000004</v>
          </cell>
          <cell r="CQ12">
            <v>4.1835000000000004</v>
          </cell>
          <cell r="CR12">
            <v>4.1210000000000004</v>
          </cell>
          <cell r="CS12">
            <v>4.0585000000000004</v>
          </cell>
          <cell r="CT12">
            <v>3.996</v>
          </cell>
          <cell r="CU12">
            <v>3.9401975308641974</v>
          </cell>
          <cell r="CV12">
            <v>3.8566172839506172</v>
          </cell>
          <cell r="CW12">
            <v>3.773037037037037</v>
          </cell>
          <cell r="CX12">
            <v>3.6894567901234567</v>
          </cell>
          <cell r="CY12">
            <v>3.6058765432098765</v>
          </cell>
          <cell r="CZ12">
            <v>3.5222962962962963</v>
          </cell>
          <cell r="DA12">
            <v>3.438716049382716</v>
          </cell>
          <cell r="DB12">
            <v>3.3551358024691358</v>
          </cell>
          <cell r="DC12">
            <v>3.2715555555555556</v>
          </cell>
          <cell r="DD12">
            <v>3.1982222222222223</v>
          </cell>
          <cell r="DE12">
            <v>3.1026666666666665</v>
          </cell>
          <cell r="DF12">
            <v>3.0071111111111111</v>
          </cell>
          <cell r="DG12">
            <v>2.9115555555555552</v>
          </cell>
          <cell r="DH12">
            <v>2.8159999999999998</v>
          </cell>
          <cell r="DI12">
            <v>2.7631999999999999</v>
          </cell>
          <cell r="DJ12">
            <v>2.694</v>
          </cell>
          <cell r="DK12">
            <v>2.6247999999999996</v>
          </cell>
          <cell r="DL12">
            <v>2.5555999999999996</v>
          </cell>
          <cell r="DM12">
            <v>2.4863999999999997</v>
          </cell>
          <cell r="DN12">
            <v>2.4442499999999998</v>
          </cell>
          <cell r="DO12">
            <v>2.3824999999999998</v>
          </cell>
          <cell r="DP12">
            <v>2.3207499999999999</v>
          </cell>
          <cell r="DQ12">
            <v>2.2589999999999999</v>
          </cell>
          <cell r="DR12">
            <v>2.1972499999999999</v>
          </cell>
          <cell r="DS12">
            <v>2.1355</v>
          </cell>
          <cell r="DT12">
            <v>2.07375</v>
          </cell>
          <cell r="DU12"/>
        </row>
        <row r="13">
          <cell r="BV13">
            <v>38</v>
          </cell>
          <cell r="BW13">
            <v>4.5594999999999999</v>
          </cell>
          <cell r="BX13">
            <v>4.5510000000000002</v>
          </cell>
          <cell r="BY13">
            <v>4.5425000000000004</v>
          </cell>
          <cell r="BZ13">
            <v>4.5340000000000007</v>
          </cell>
          <cell r="CA13">
            <v>4.5255000000000001</v>
          </cell>
          <cell r="CB13">
            <v>4.5170000000000003</v>
          </cell>
          <cell r="CC13">
            <v>4.5085000000000006</v>
          </cell>
          <cell r="CD13">
            <v>4.5</v>
          </cell>
          <cell r="CE13">
            <v>4.4915000000000003</v>
          </cell>
          <cell r="CF13">
            <v>4.4830000000000005</v>
          </cell>
          <cell r="CG13">
            <v>4.4745000000000008</v>
          </cell>
          <cell r="CH13">
            <v>4.4660000000000002</v>
          </cell>
          <cell r="CI13">
            <v>4.4575000000000005</v>
          </cell>
          <cell r="CJ13">
            <v>4.4490000000000007</v>
          </cell>
          <cell r="CK13">
            <v>4.4405000000000001</v>
          </cell>
          <cell r="CL13">
            <v>4.4320000000000004</v>
          </cell>
          <cell r="CM13">
            <v>4.3665000000000003</v>
          </cell>
          <cell r="CN13">
            <v>4.3040000000000003</v>
          </cell>
          <cell r="CO13">
            <v>4.2415000000000003</v>
          </cell>
          <cell r="CP13">
            <v>4.1790000000000003</v>
          </cell>
          <cell r="CQ13">
            <v>4.1165000000000003</v>
          </cell>
          <cell r="CR13">
            <v>4.0540000000000003</v>
          </cell>
          <cell r="CS13">
            <v>3.9914999999999998</v>
          </cell>
          <cell r="CT13">
            <v>3.9289999999999998</v>
          </cell>
          <cell r="CU13">
            <v>3.8870864197530866</v>
          </cell>
          <cell r="CV13">
            <v>3.8035061728395063</v>
          </cell>
          <cell r="CW13">
            <v>3.7199259259259261</v>
          </cell>
          <cell r="CX13">
            <v>3.6363456790123458</v>
          </cell>
          <cell r="CY13">
            <v>3.5527654320987656</v>
          </cell>
          <cell r="CZ13">
            <v>3.4691851851851854</v>
          </cell>
          <cell r="DA13">
            <v>3.3856049382716051</v>
          </cell>
          <cell r="DB13">
            <v>3.3020246913580249</v>
          </cell>
          <cell r="DC13">
            <v>3.2184444444444447</v>
          </cell>
          <cell r="DD13">
            <v>3.1562222222222225</v>
          </cell>
          <cell r="DE13">
            <v>3.0606666666666666</v>
          </cell>
          <cell r="DF13">
            <v>2.9651111111111113</v>
          </cell>
          <cell r="DG13">
            <v>2.8695555555555554</v>
          </cell>
          <cell r="DH13">
            <v>2.774</v>
          </cell>
          <cell r="DI13">
            <v>2.7294</v>
          </cell>
          <cell r="DJ13">
            <v>2.6602000000000001</v>
          </cell>
          <cell r="DK13">
            <v>2.5909999999999997</v>
          </cell>
          <cell r="DL13">
            <v>2.5217999999999998</v>
          </cell>
          <cell r="DM13">
            <v>2.4525999999999999</v>
          </cell>
          <cell r="DN13">
            <v>2.4202499999999998</v>
          </cell>
          <cell r="DO13">
            <v>2.3584999999999998</v>
          </cell>
          <cell r="DP13">
            <v>2.2967499999999998</v>
          </cell>
          <cell r="DQ13">
            <v>2.2349999999999999</v>
          </cell>
          <cell r="DR13">
            <v>2.1732499999999999</v>
          </cell>
          <cell r="DS13">
            <v>2.1114999999999999</v>
          </cell>
          <cell r="DT13">
            <v>2.04975</v>
          </cell>
          <cell r="DU13"/>
        </row>
        <row r="14">
          <cell r="BV14">
            <v>39</v>
          </cell>
          <cell r="BW14">
            <v>4.4934999999999992</v>
          </cell>
          <cell r="BX14">
            <v>4.4849999999999994</v>
          </cell>
          <cell r="BY14">
            <v>4.4764999999999997</v>
          </cell>
          <cell r="BZ14">
            <v>4.468</v>
          </cell>
          <cell r="CA14">
            <v>4.4594999999999994</v>
          </cell>
          <cell r="CB14">
            <v>4.4509999999999996</v>
          </cell>
          <cell r="CC14">
            <v>4.4424999999999999</v>
          </cell>
          <cell r="CD14">
            <v>4.4339999999999993</v>
          </cell>
          <cell r="CE14">
            <v>4.4254999999999995</v>
          </cell>
          <cell r="CF14">
            <v>4.4169999999999998</v>
          </cell>
          <cell r="CG14">
            <v>4.4085000000000001</v>
          </cell>
          <cell r="CH14">
            <v>4.3999999999999995</v>
          </cell>
          <cell r="CI14">
            <v>4.3914999999999997</v>
          </cell>
          <cell r="CJ14">
            <v>4.383</v>
          </cell>
          <cell r="CK14">
            <v>4.3744999999999994</v>
          </cell>
          <cell r="CL14">
            <v>4.3659999999999997</v>
          </cell>
          <cell r="CM14">
            <v>4.2995000000000001</v>
          </cell>
          <cell r="CN14">
            <v>4.2370000000000001</v>
          </cell>
          <cell r="CO14">
            <v>4.1745000000000001</v>
          </cell>
          <cell r="CP14">
            <v>4.1120000000000001</v>
          </cell>
          <cell r="CQ14">
            <v>4.0495000000000001</v>
          </cell>
          <cell r="CR14">
            <v>3.9870000000000001</v>
          </cell>
          <cell r="CS14">
            <v>3.9245000000000001</v>
          </cell>
          <cell r="CT14">
            <v>3.8620000000000001</v>
          </cell>
          <cell r="CU14">
            <v>3.8339753086419752</v>
          </cell>
          <cell r="CV14">
            <v>3.750395061728395</v>
          </cell>
          <cell r="CW14">
            <v>3.6668148148148147</v>
          </cell>
          <cell r="CX14">
            <v>3.5832345679012345</v>
          </cell>
          <cell r="CY14">
            <v>3.4996543209876543</v>
          </cell>
          <cell r="CZ14">
            <v>3.416074074074074</v>
          </cell>
          <cell r="DA14">
            <v>3.3324938271604938</v>
          </cell>
          <cell r="DB14">
            <v>3.2489135802469136</v>
          </cell>
          <cell r="DC14">
            <v>3.1653333333333333</v>
          </cell>
          <cell r="DD14">
            <v>3.1142222222222222</v>
          </cell>
          <cell r="DE14">
            <v>3.0186666666666664</v>
          </cell>
          <cell r="DF14">
            <v>2.923111111111111</v>
          </cell>
          <cell r="DG14">
            <v>2.8275555555555552</v>
          </cell>
          <cell r="DH14">
            <v>2.7319999999999998</v>
          </cell>
          <cell r="DI14">
            <v>2.6955999999999998</v>
          </cell>
          <cell r="DJ14">
            <v>2.6263999999999998</v>
          </cell>
          <cell r="DK14">
            <v>2.5571999999999995</v>
          </cell>
          <cell r="DL14">
            <v>2.4879999999999995</v>
          </cell>
          <cell r="DM14">
            <v>2.4187999999999996</v>
          </cell>
          <cell r="DN14">
            <v>2.3962499999999998</v>
          </cell>
          <cell r="DO14">
            <v>2.3344999999999998</v>
          </cell>
          <cell r="DP14">
            <v>2.2727499999999998</v>
          </cell>
          <cell r="DQ14">
            <v>2.2109999999999999</v>
          </cell>
          <cell r="DR14">
            <v>2.1492499999999999</v>
          </cell>
          <cell r="DS14">
            <v>2.0874999999999999</v>
          </cell>
          <cell r="DT14">
            <v>2.0257499999999999</v>
          </cell>
          <cell r="DU14"/>
        </row>
        <row r="15">
          <cell r="BV15">
            <v>40</v>
          </cell>
          <cell r="BW15">
            <v>4.4275000000000002</v>
          </cell>
          <cell r="BX15">
            <v>4.4189999999999996</v>
          </cell>
          <cell r="BY15">
            <v>4.4104999999999999</v>
          </cell>
          <cell r="BZ15">
            <v>4.4020000000000001</v>
          </cell>
          <cell r="CA15">
            <v>4.3934999999999995</v>
          </cell>
          <cell r="CB15">
            <v>4.3849999999999998</v>
          </cell>
          <cell r="CC15">
            <v>4.3765000000000001</v>
          </cell>
          <cell r="CD15">
            <v>4.3679999999999994</v>
          </cell>
          <cell r="CE15">
            <v>4.3594999999999997</v>
          </cell>
          <cell r="CF15">
            <v>4.351</v>
          </cell>
          <cell r="CG15">
            <v>4.3424999999999994</v>
          </cell>
          <cell r="CH15">
            <v>4.3339999999999996</v>
          </cell>
          <cell r="CI15">
            <v>4.3254999999999999</v>
          </cell>
          <cell r="CJ15">
            <v>4.3170000000000002</v>
          </cell>
          <cell r="CK15">
            <v>4.3084999999999996</v>
          </cell>
          <cell r="CL15">
            <v>4.3</v>
          </cell>
          <cell r="CM15">
            <v>4.2324999999999999</v>
          </cell>
          <cell r="CN15">
            <v>4.17</v>
          </cell>
          <cell r="CO15">
            <v>4.1074999999999999</v>
          </cell>
          <cell r="CP15">
            <v>4.0449999999999999</v>
          </cell>
          <cell r="CQ15">
            <v>3.9824999999999999</v>
          </cell>
          <cell r="CR15">
            <v>3.92</v>
          </cell>
          <cell r="CS15">
            <v>3.8574999999999999</v>
          </cell>
          <cell r="CT15">
            <v>3.7949999999999999</v>
          </cell>
          <cell r="CU15">
            <v>3.7808641975308639</v>
          </cell>
          <cell r="CV15">
            <v>3.6972839506172837</v>
          </cell>
          <cell r="CW15">
            <v>3.6137037037037034</v>
          </cell>
          <cell r="CX15">
            <v>3.5301234567901232</v>
          </cell>
          <cell r="CY15">
            <v>3.4465432098765429</v>
          </cell>
          <cell r="CZ15">
            <v>3.3629629629629627</v>
          </cell>
          <cell r="DA15">
            <v>3.2793827160493825</v>
          </cell>
          <cell r="DB15">
            <v>3.1958024691358022</v>
          </cell>
          <cell r="DC15">
            <v>3.112222222222222</v>
          </cell>
          <cell r="DD15">
            <v>3.0722222222222224</v>
          </cell>
          <cell r="DE15">
            <v>2.9766666666666666</v>
          </cell>
          <cell r="DF15">
            <v>2.8811111111111112</v>
          </cell>
          <cell r="DG15">
            <v>2.7855555555555553</v>
          </cell>
          <cell r="DH15">
            <v>2.69</v>
          </cell>
          <cell r="DI15">
            <v>2.6617999999999999</v>
          </cell>
          <cell r="DJ15">
            <v>2.5926</v>
          </cell>
          <cell r="DK15">
            <v>2.5233999999999996</v>
          </cell>
          <cell r="DL15">
            <v>2.4541999999999997</v>
          </cell>
          <cell r="DM15">
            <v>2.3849999999999998</v>
          </cell>
          <cell r="DN15">
            <v>2.3722499999999997</v>
          </cell>
          <cell r="DO15">
            <v>2.3104999999999998</v>
          </cell>
          <cell r="DP15">
            <v>2.2487499999999998</v>
          </cell>
          <cell r="DQ15">
            <v>2.1869999999999998</v>
          </cell>
          <cell r="DR15">
            <v>2.1252499999999999</v>
          </cell>
          <cell r="DS15">
            <v>2.0634999999999999</v>
          </cell>
          <cell r="DT15">
            <v>2.0017499999999999</v>
          </cell>
          <cell r="DU15"/>
        </row>
        <row r="16">
          <cell r="BV16">
            <v>41</v>
          </cell>
          <cell r="BW16">
            <v>4.3614999999999995</v>
          </cell>
          <cell r="BX16">
            <v>4.3529999999999998</v>
          </cell>
          <cell r="BY16">
            <v>4.3445</v>
          </cell>
          <cell r="BZ16">
            <v>4.3360000000000003</v>
          </cell>
          <cell r="CA16">
            <v>4.3274999999999997</v>
          </cell>
          <cell r="CB16">
            <v>4.319</v>
          </cell>
          <cell r="CC16">
            <v>4.3105000000000002</v>
          </cell>
          <cell r="CD16">
            <v>4.3019999999999996</v>
          </cell>
          <cell r="CE16">
            <v>4.2934999999999999</v>
          </cell>
          <cell r="CF16">
            <v>4.2850000000000001</v>
          </cell>
          <cell r="CG16">
            <v>4.2765000000000004</v>
          </cell>
          <cell r="CH16">
            <v>4.2679999999999998</v>
          </cell>
          <cell r="CI16">
            <v>4.2595000000000001</v>
          </cell>
          <cell r="CJ16">
            <v>4.2510000000000003</v>
          </cell>
          <cell r="CK16">
            <v>4.2424999999999997</v>
          </cell>
          <cell r="CL16">
            <v>4.234</v>
          </cell>
          <cell r="CM16">
            <v>4.1654999999999998</v>
          </cell>
          <cell r="CN16">
            <v>4.1029999999999998</v>
          </cell>
          <cell r="CO16">
            <v>4.0404999999999998</v>
          </cell>
          <cell r="CP16">
            <v>3.9779999999999998</v>
          </cell>
          <cell r="CQ16">
            <v>3.9154999999999998</v>
          </cell>
          <cell r="CR16">
            <v>3.8529999999999998</v>
          </cell>
          <cell r="CS16">
            <v>3.7904999999999998</v>
          </cell>
          <cell r="CT16">
            <v>3.7279999999999998</v>
          </cell>
          <cell r="CU16">
            <v>3.727753086419753</v>
          </cell>
          <cell r="CV16">
            <v>3.6441728395061728</v>
          </cell>
          <cell r="CW16">
            <v>3.5605925925925925</v>
          </cell>
          <cell r="CX16">
            <v>3.4770123456790123</v>
          </cell>
          <cell r="CY16">
            <v>3.3934320987654321</v>
          </cell>
          <cell r="CZ16">
            <v>3.3098518518518518</v>
          </cell>
          <cell r="DA16">
            <v>3.2262716049382716</v>
          </cell>
          <cell r="DB16">
            <v>3.1426913580246914</v>
          </cell>
          <cell r="DC16">
            <v>3.0591111111111111</v>
          </cell>
          <cell r="DD16">
            <v>3.0302222222222222</v>
          </cell>
          <cell r="DE16">
            <v>2.9346666666666663</v>
          </cell>
          <cell r="DF16">
            <v>2.8391111111111109</v>
          </cell>
          <cell r="DG16">
            <v>2.7435555555555551</v>
          </cell>
          <cell r="DH16">
            <v>2.6479999999999997</v>
          </cell>
          <cell r="DI16">
            <v>2.6280000000000001</v>
          </cell>
          <cell r="DJ16">
            <v>2.5588000000000002</v>
          </cell>
          <cell r="DK16">
            <v>2.4895999999999998</v>
          </cell>
          <cell r="DL16">
            <v>2.4203999999999999</v>
          </cell>
          <cell r="DM16">
            <v>2.3512</v>
          </cell>
          <cell r="DN16">
            <v>2.3482499999999997</v>
          </cell>
          <cell r="DO16">
            <v>2.2864999999999998</v>
          </cell>
          <cell r="DP16">
            <v>2.2247499999999998</v>
          </cell>
          <cell r="DQ16">
            <v>2.1629999999999998</v>
          </cell>
          <cell r="DR16">
            <v>2.1012499999999998</v>
          </cell>
          <cell r="DS16">
            <v>2.0394999999999999</v>
          </cell>
          <cell r="DT16">
            <v>1.9777499999999999</v>
          </cell>
          <cell r="DU16"/>
        </row>
        <row r="17">
          <cell r="BV17">
            <v>42</v>
          </cell>
          <cell r="BW17">
            <v>4.2955000000000005</v>
          </cell>
          <cell r="BX17">
            <v>4.2869999999999999</v>
          </cell>
          <cell r="BY17">
            <v>4.2785000000000002</v>
          </cell>
          <cell r="BZ17">
            <v>4.2700000000000005</v>
          </cell>
          <cell r="CA17">
            <v>4.2614999999999998</v>
          </cell>
          <cell r="CB17">
            <v>4.2530000000000001</v>
          </cell>
          <cell r="CC17">
            <v>4.2445000000000004</v>
          </cell>
          <cell r="CD17">
            <v>4.2359999999999998</v>
          </cell>
          <cell r="CE17">
            <v>4.2275</v>
          </cell>
          <cell r="CF17">
            <v>4.2190000000000003</v>
          </cell>
          <cell r="CG17">
            <v>4.2104999999999997</v>
          </cell>
          <cell r="CH17">
            <v>4.202</v>
          </cell>
          <cell r="CI17">
            <v>4.1935000000000002</v>
          </cell>
          <cell r="CJ17">
            <v>4.1850000000000005</v>
          </cell>
          <cell r="CK17">
            <v>4.1764999999999999</v>
          </cell>
          <cell r="CL17">
            <v>4.1680000000000001</v>
          </cell>
          <cell r="CM17">
            <v>4.0984999999999996</v>
          </cell>
          <cell r="CN17">
            <v>4.0359999999999996</v>
          </cell>
          <cell r="CO17">
            <v>3.9735</v>
          </cell>
          <cell r="CP17">
            <v>3.911</v>
          </cell>
          <cell r="CQ17">
            <v>3.8485</v>
          </cell>
          <cell r="CR17">
            <v>3.786</v>
          </cell>
          <cell r="CS17">
            <v>3.7235</v>
          </cell>
          <cell r="CT17">
            <v>3.661</v>
          </cell>
          <cell r="CU17">
            <v>3.6746419753086421</v>
          </cell>
          <cell r="CV17">
            <v>3.5910617283950619</v>
          </cell>
          <cell r="CW17">
            <v>3.5074814814814816</v>
          </cell>
          <cell r="CX17">
            <v>3.4239012345679014</v>
          </cell>
          <cell r="CY17">
            <v>3.3403209876543212</v>
          </cell>
          <cell r="CZ17">
            <v>3.2567407407407409</v>
          </cell>
          <cell r="DA17">
            <v>3.1731604938271607</v>
          </cell>
          <cell r="DB17">
            <v>3.0895802469135805</v>
          </cell>
          <cell r="DC17">
            <v>3.0060000000000002</v>
          </cell>
          <cell r="DD17">
            <v>2.9882222222222223</v>
          </cell>
          <cell r="DE17">
            <v>2.8926666666666665</v>
          </cell>
          <cell r="DF17">
            <v>2.7971111111111111</v>
          </cell>
          <cell r="DG17">
            <v>2.7015555555555553</v>
          </cell>
          <cell r="DH17">
            <v>2.6059999999999999</v>
          </cell>
          <cell r="DI17">
            <v>2.5941999999999998</v>
          </cell>
          <cell r="DJ17">
            <v>2.5249999999999999</v>
          </cell>
          <cell r="DK17">
            <v>2.4557999999999995</v>
          </cell>
          <cell r="DL17">
            <v>2.3865999999999996</v>
          </cell>
          <cell r="DM17">
            <v>2.3173999999999997</v>
          </cell>
          <cell r="DN17">
            <v>2.3242500000000001</v>
          </cell>
          <cell r="DO17">
            <v>2.2625000000000002</v>
          </cell>
          <cell r="DP17">
            <v>2.2007500000000002</v>
          </cell>
          <cell r="DQ17">
            <v>2.1390000000000002</v>
          </cell>
          <cell r="DR17">
            <v>2.0772500000000003</v>
          </cell>
          <cell r="DS17">
            <v>2.0155000000000003</v>
          </cell>
          <cell r="DT17">
            <v>1.9537500000000001</v>
          </cell>
          <cell r="DU17"/>
        </row>
        <row r="18">
          <cell r="BV18">
            <v>43</v>
          </cell>
          <cell r="BW18">
            <v>4.2294999999999998</v>
          </cell>
          <cell r="BX18">
            <v>4.2210000000000001</v>
          </cell>
          <cell r="BY18">
            <v>4.2125000000000004</v>
          </cell>
          <cell r="BZ18">
            <v>4.2040000000000006</v>
          </cell>
          <cell r="CA18">
            <v>4.1955</v>
          </cell>
          <cell r="CB18">
            <v>4.1870000000000003</v>
          </cell>
          <cell r="CC18">
            <v>4.1785000000000005</v>
          </cell>
          <cell r="CD18">
            <v>4.17</v>
          </cell>
          <cell r="CE18">
            <v>4.1615000000000002</v>
          </cell>
          <cell r="CF18">
            <v>4.1530000000000005</v>
          </cell>
          <cell r="CG18">
            <v>4.1445000000000007</v>
          </cell>
          <cell r="CH18">
            <v>4.1360000000000001</v>
          </cell>
          <cell r="CI18">
            <v>4.1275000000000004</v>
          </cell>
          <cell r="CJ18">
            <v>4.1190000000000007</v>
          </cell>
          <cell r="CK18">
            <v>4.1105</v>
          </cell>
          <cell r="CL18">
            <v>4.1020000000000003</v>
          </cell>
          <cell r="CM18">
            <v>4.0314999999999994</v>
          </cell>
          <cell r="CN18">
            <v>3.9689999999999999</v>
          </cell>
          <cell r="CO18">
            <v>3.9064999999999999</v>
          </cell>
          <cell r="CP18">
            <v>3.8439999999999999</v>
          </cell>
          <cell r="CQ18">
            <v>3.7814999999999999</v>
          </cell>
          <cell r="CR18">
            <v>3.7189999999999999</v>
          </cell>
          <cell r="CS18">
            <v>3.6564999999999999</v>
          </cell>
          <cell r="CT18">
            <v>3.5939999999999999</v>
          </cell>
          <cell r="CU18">
            <v>3.6215308641975308</v>
          </cell>
          <cell r="CV18">
            <v>3.5379506172839505</v>
          </cell>
          <cell r="CW18">
            <v>3.4543703703703703</v>
          </cell>
          <cell r="CX18">
            <v>3.3707901234567901</v>
          </cell>
          <cell r="CY18">
            <v>3.2872098765432098</v>
          </cell>
          <cell r="CZ18">
            <v>3.2036296296296296</v>
          </cell>
          <cell r="DA18">
            <v>3.1200493827160494</v>
          </cell>
          <cell r="DB18">
            <v>3.0364691358024691</v>
          </cell>
          <cell r="DC18">
            <v>2.9528888888888889</v>
          </cell>
          <cell r="DD18">
            <v>2.9462222222222225</v>
          </cell>
          <cell r="DE18">
            <v>2.8506666666666667</v>
          </cell>
          <cell r="DF18">
            <v>2.7551111111111113</v>
          </cell>
          <cell r="DG18">
            <v>2.6595555555555555</v>
          </cell>
          <cell r="DH18">
            <v>2.5640000000000001</v>
          </cell>
          <cell r="DI18">
            <v>2.5604</v>
          </cell>
          <cell r="DJ18">
            <v>2.4912000000000001</v>
          </cell>
          <cell r="DK18">
            <v>2.4219999999999997</v>
          </cell>
          <cell r="DL18">
            <v>2.3527999999999998</v>
          </cell>
          <cell r="DM18">
            <v>2.2835999999999999</v>
          </cell>
          <cell r="DN18">
            <v>2.3002500000000001</v>
          </cell>
          <cell r="DO18">
            <v>2.2385000000000002</v>
          </cell>
          <cell r="DP18">
            <v>2.1767500000000002</v>
          </cell>
          <cell r="DQ18">
            <v>2.1150000000000002</v>
          </cell>
          <cell r="DR18">
            <v>2.0532500000000002</v>
          </cell>
          <cell r="DS18">
            <v>1.9915</v>
          </cell>
          <cell r="DT18">
            <v>1.9297500000000001</v>
          </cell>
          <cell r="DU18"/>
        </row>
        <row r="19">
          <cell r="BV19">
            <v>44</v>
          </cell>
          <cell r="BW19">
            <v>4.1635000000000009</v>
          </cell>
          <cell r="BX19">
            <v>4.1550000000000002</v>
          </cell>
          <cell r="BY19">
            <v>4.1465000000000005</v>
          </cell>
          <cell r="BZ19">
            <v>4.1380000000000008</v>
          </cell>
          <cell r="CA19">
            <v>4.1295000000000002</v>
          </cell>
          <cell r="CB19">
            <v>4.1210000000000004</v>
          </cell>
          <cell r="CC19">
            <v>4.1125000000000007</v>
          </cell>
          <cell r="CD19">
            <v>4.1040000000000001</v>
          </cell>
          <cell r="CE19">
            <v>4.0955000000000004</v>
          </cell>
          <cell r="CF19">
            <v>4.0870000000000006</v>
          </cell>
          <cell r="CG19">
            <v>4.0785</v>
          </cell>
          <cell r="CH19">
            <v>4.07</v>
          </cell>
          <cell r="CI19">
            <v>4.0615000000000006</v>
          </cell>
          <cell r="CJ19">
            <v>4.0530000000000008</v>
          </cell>
          <cell r="CK19">
            <v>4.0445000000000002</v>
          </cell>
          <cell r="CL19">
            <v>4.0360000000000005</v>
          </cell>
          <cell r="CM19">
            <v>3.9645000000000001</v>
          </cell>
          <cell r="CN19">
            <v>3.9020000000000001</v>
          </cell>
          <cell r="CO19">
            <v>3.8395000000000001</v>
          </cell>
          <cell r="CP19">
            <v>3.7770000000000001</v>
          </cell>
          <cell r="CQ19">
            <v>3.7145000000000001</v>
          </cell>
          <cell r="CR19">
            <v>3.6520000000000001</v>
          </cell>
          <cell r="CS19">
            <v>3.5895000000000001</v>
          </cell>
          <cell r="CT19">
            <v>3.5270000000000001</v>
          </cell>
          <cell r="CU19">
            <v>3.5684197530864195</v>
          </cell>
          <cell r="CV19">
            <v>3.4848395061728392</v>
          </cell>
          <cell r="CW19">
            <v>3.401259259259259</v>
          </cell>
          <cell r="CX19">
            <v>3.3176790123456787</v>
          </cell>
          <cell r="CY19">
            <v>3.2340987654320985</v>
          </cell>
          <cell r="CZ19">
            <v>3.1505185185185183</v>
          </cell>
          <cell r="DA19">
            <v>3.066938271604938</v>
          </cell>
          <cell r="DB19">
            <v>2.9833580246913578</v>
          </cell>
          <cell r="DC19">
            <v>2.8997777777777776</v>
          </cell>
          <cell r="DD19">
            <v>2.9042222222222223</v>
          </cell>
          <cell r="DE19">
            <v>2.8086666666666664</v>
          </cell>
          <cell r="DF19">
            <v>2.713111111111111</v>
          </cell>
          <cell r="DG19">
            <v>2.6175555555555552</v>
          </cell>
          <cell r="DH19">
            <v>2.5219999999999998</v>
          </cell>
          <cell r="DI19">
            <v>2.5265999999999997</v>
          </cell>
          <cell r="DJ19">
            <v>2.4573999999999998</v>
          </cell>
          <cell r="DK19">
            <v>2.3881999999999994</v>
          </cell>
          <cell r="DL19">
            <v>2.3189999999999995</v>
          </cell>
          <cell r="DM19">
            <v>2.2497999999999996</v>
          </cell>
          <cell r="DN19">
            <v>2.2762500000000001</v>
          </cell>
          <cell r="DO19">
            <v>2.2145000000000001</v>
          </cell>
          <cell r="DP19">
            <v>2.1527500000000002</v>
          </cell>
          <cell r="DQ19">
            <v>2.0910000000000002</v>
          </cell>
          <cell r="DR19">
            <v>2.0292500000000002</v>
          </cell>
          <cell r="DS19">
            <v>1.9675</v>
          </cell>
          <cell r="DT19">
            <v>1.9057500000000001</v>
          </cell>
          <cell r="DU19"/>
        </row>
        <row r="20">
          <cell r="BV20">
            <v>45</v>
          </cell>
          <cell r="BW20">
            <v>4.0750000000000002</v>
          </cell>
          <cell r="BX20">
            <v>4.0680000000000005</v>
          </cell>
          <cell r="BY20">
            <v>4.0609999999999999</v>
          </cell>
          <cell r="BZ20">
            <v>4.0540000000000003</v>
          </cell>
          <cell r="CA20">
            <v>4.0470000000000006</v>
          </cell>
          <cell r="CB20">
            <v>4.04</v>
          </cell>
          <cell r="CC20">
            <v>4.0330000000000004</v>
          </cell>
          <cell r="CD20">
            <v>4.0259999999999998</v>
          </cell>
          <cell r="CE20">
            <v>4.0190000000000001</v>
          </cell>
          <cell r="CF20">
            <v>4.0120000000000005</v>
          </cell>
          <cell r="CG20">
            <v>4.0049999999999999</v>
          </cell>
          <cell r="CH20">
            <v>3.9980000000000002</v>
          </cell>
          <cell r="CI20">
            <v>3.9910000000000001</v>
          </cell>
          <cell r="CJ20">
            <v>3.984</v>
          </cell>
          <cell r="CK20">
            <v>3.9770000000000003</v>
          </cell>
          <cell r="CL20">
            <v>3.97</v>
          </cell>
          <cell r="CM20">
            <v>3.90625</v>
          </cell>
          <cell r="CN20">
            <v>3.8425000000000002</v>
          </cell>
          <cell r="CO20">
            <v>3.7787500000000001</v>
          </cell>
          <cell r="CP20">
            <v>3.7149999999999999</v>
          </cell>
          <cell r="CQ20">
            <v>3.6512500000000001</v>
          </cell>
          <cell r="CR20">
            <v>3.5874999999999999</v>
          </cell>
          <cell r="CS20">
            <v>3.5237500000000002</v>
          </cell>
          <cell r="CT20">
            <v>3.46</v>
          </cell>
          <cell r="CU20">
            <v>3.3918518518518517</v>
          </cell>
          <cell r="CV20">
            <v>3.3237037037037038</v>
          </cell>
          <cell r="CW20">
            <v>3.2555555555555555</v>
          </cell>
          <cell r="CX20">
            <v>3.1874074074074072</v>
          </cell>
          <cell r="CY20">
            <v>3.1192592592592594</v>
          </cell>
          <cell r="CZ20">
            <v>3.0511111111111111</v>
          </cell>
          <cell r="DA20">
            <v>2.9829629629629628</v>
          </cell>
          <cell r="DB20">
            <v>2.914814814814815</v>
          </cell>
          <cell r="DC20">
            <v>2.8466666666666667</v>
          </cell>
          <cell r="DD20">
            <v>2.7733333333333334</v>
          </cell>
          <cell r="DE20">
            <v>2.7</v>
          </cell>
          <cell r="DF20">
            <v>2.6266666666666665</v>
          </cell>
          <cell r="DG20">
            <v>2.5533333333333332</v>
          </cell>
          <cell r="DH20">
            <v>2.48</v>
          </cell>
          <cell r="DI20">
            <v>2.4272</v>
          </cell>
          <cell r="DJ20">
            <v>2.3744000000000001</v>
          </cell>
          <cell r="DK20">
            <v>2.3215999999999997</v>
          </cell>
          <cell r="DL20">
            <v>2.2687999999999997</v>
          </cell>
          <cell r="DM20">
            <v>2.2159999999999997</v>
          </cell>
          <cell r="DN20">
            <v>2.1664999999999996</v>
          </cell>
          <cell r="DO20">
            <v>2.117</v>
          </cell>
          <cell r="DP20">
            <v>2.0674999999999999</v>
          </cell>
          <cell r="DQ20">
            <v>2.0179999999999998</v>
          </cell>
          <cell r="DR20">
            <v>1.9684999999999999</v>
          </cell>
          <cell r="DS20">
            <v>1.919</v>
          </cell>
          <cell r="DT20">
            <v>1.8694999999999999</v>
          </cell>
          <cell r="DU20"/>
        </row>
        <row r="21">
          <cell r="BV21">
            <v>46</v>
          </cell>
          <cell r="BW21">
            <v>4.0230000000000006</v>
          </cell>
          <cell r="BX21">
            <v>4.016</v>
          </cell>
          <cell r="BY21">
            <v>4.0090000000000003</v>
          </cell>
          <cell r="BZ21">
            <v>4.0020000000000007</v>
          </cell>
          <cell r="CA21">
            <v>3.9950000000000001</v>
          </cell>
          <cell r="CB21">
            <v>3.9880000000000004</v>
          </cell>
          <cell r="CC21">
            <v>3.9810000000000003</v>
          </cell>
          <cell r="CD21">
            <v>3.9740000000000002</v>
          </cell>
          <cell r="CE21">
            <v>3.9670000000000001</v>
          </cell>
          <cell r="CF21">
            <v>3.96</v>
          </cell>
          <cell r="CG21">
            <v>3.9530000000000003</v>
          </cell>
          <cell r="CH21">
            <v>3.9460000000000002</v>
          </cell>
          <cell r="CI21">
            <v>3.9390000000000001</v>
          </cell>
          <cell r="CJ21">
            <v>3.9320000000000004</v>
          </cell>
          <cell r="CK21">
            <v>3.9250000000000003</v>
          </cell>
          <cell r="CL21">
            <v>3.9180000000000001</v>
          </cell>
          <cell r="CM21">
            <v>3.86225</v>
          </cell>
          <cell r="CN21">
            <v>3.7985000000000002</v>
          </cell>
          <cell r="CO21">
            <v>3.73475</v>
          </cell>
          <cell r="CP21">
            <v>3.6710000000000003</v>
          </cell>
          <cell r="CQ21">
            <v>3.6072500000000001</v>
          </cell>
          <cell r="CR21">
            <v>3.5434999999999999</v>
          </cell>
          <cell r="CS21">
            <v>3.4797500000000001</v>
          </cell>
          <cell r="CT21">
            <v>3.4159999999999999</v>
          </cell>
          <cell r="CU21">
            <v>3.3576296296296295</v>
          </cell>
          <cell r="CV21">
            <v>3.2894814814814817</v>
          </cell>
          <cell r="CW21">
            <v>3.2213333333333334</v>
          </cell>
          <cell r="CX21">
            <v>3.1531851851851851</v>
          </cell>
          <cell r="CY21">
            <v>3.0850370370370372</v>
          </cell>
          <cell r="CZ21">
            <v>3.016888888888889</v>
          </cell>
          <cell r="DA21">
            <v>2.9487407407407407</v>
          </cell>
          <cell r="DB21">
            <v>2.8805925925925928</v>
          </cell>
          <cell r="DC21">
            <v>2.8124444444444445</v>
          </cell>
          <cell r="DD21">
            <v>2.7463333333333333</v>
          </cell>
          <cell r="DE21">
            <v>2.673</v>
          </cell>
          <cell r="DF21">
            <v>2.5996666666666663</v>
          </cell>
          <cell r="DG21">
            <v>2.5263333333333331</v>
          </cell>
          <cell r="DH21">
            <v>2.4529999999999998</v>
          </cell>
          <cell r="DI21">
            <v>2.4041999999999999</v>
          </cell>
          <cell r="DJ21">
            <v>2.3513999999999999</v>
          </cell>
          <cell r="DK21">
            <v>2.2985999999999995</v>
          </cell>
          <cell r="DL21">
            <v>2.2457999999999996</v>
          </cell>
          <cell r="DM21">
            <v>2.1929999999999996</v>
          </cell>
          <cell r="DN21">
            <v>2.1515</v>
          </cell>
          <cell r="DO21">
            <v>2.1019999999999999</v>
          </cell>
          <cell r="DP21">
            <v>2.0524999999999998</v>
          </cell>
          <cell r="DQ21">
            <v>2.0030000000000001</v>
          </cell>
          <cell r="DR21">
            <v>1.9535</v>
          </cell>
          <cell r="DS21">
            <v>1.9040000000000001</v>
          </cell>
          <cell r="DT21">
            <v>1.8545</v>
          </cell>
          <cell r="DU21"/>
        </row>
        <row r="22">
          <cell r="BV22">
            <v>47</v>
          </cell>
          <cell r="BW22">
            <v>3.9710000000000001</v>
          </cell>
          <cell r="BX22">
            <v>3.9640000000000004</v>
          </cell>
          <cell r="BY22">
            <v>3.9570000000000003</v>
          </cell>
          <cell r="BZ22">
            <v>3.95</v>
          </cell>
          <cell r="CA22">
            <v>3.9430000000000001</v>
          </cell>
          <cell r="CB22">
            <v>3.9359999999999999</v>
          </cell>
          <cell r="CC22">
            <v>3.9290000000000003</v>
          </cell>
          <cell r="CD22">
            <v>3.9220000000000002</v>
          </cell>
          <cell r="CE22">
            <v>3.915</v>
          </cell>
          <cell r="CF22">
            <v>3.9080000000000004</v>
          </cell>
          <cell r="CG22">
            <v>3.9010000000000002</v>
          </cell>
          <cell r="CH22">
            <v>3.8940000000000001</v>
          </cell>
          <cell r="CI22">
            <v>3.887</v>
          </cell>
          <cell r="CJ22">
            <v>3.88</v>
          </cell>
          <cell r="CK22">
            <v>3.8730000000000002</v>
          </cell>
          <cell r="CL22">
            <v>3.8660000000000001</v>
          </cell>
          <cell r="CM22">
            <v>3.8182499999999999</v>
          </cell>
          <cell r="CN22">
            <v>3.7545000000000002</v>
          </cell>
          <cell r="CO22">
            <v>3.69075</v>
          </cell>
          <cell r="CP22">
            <v>3.6269999999999998</v>
          </cell>
          <cell r="CQ22">
            <v>3.56325</v>
          </cell>
          <cell r="CR22">
            <v>3.4994999999999998</v>
          </cell>
          <cell r="CS22">
            <v>3.4357500000000001</v>
          </cell>
          <cell r="CT22">
            <v>3.3719999999999999</v>
          </cell>
          <cell r="CU22">
            <v>3.3234074074074074</v>
          </cell>
          <cell r="CV22">
            <v>3.2552592592592595</v>
          </cell>
          <cell r="CW22">
            <v>3.1871111111111112</v>
          </cell>
          <cell r="CX22">
            <v>3.1189629629629629</v>
          </cell>
          <cell r="CY22">
            <v>3.0508148148148151</v>
          </cell>
          <cell r="CZ22">
            <v>2.9826666666666668</v>
          </cell>
          <cell r="DA22">
            <v>2.9145185185185185</v>
          </cell>
          <cell r="DB22">
            <v>2.8463703703703707</v>
          </cell>
          <cell r="DC22">
            <v>2.7782222222222224</v>
          </cell>
          <cell r="DD22">
            <v>2.7193333333333336</v>
          </cell>
          <cell r="DE22">
            <v>2.6460000000000004</v>
          </cell>
          <cell r="DF22">
            <v>2.5726666666666667</v>
          </cell>
          <cell r="DG22">
            <v>2.4993333333333334</v>
          </cell>
          <cell r="DH22">
            <v>2.4260000000000002</v>
          </cell>
          <cell r="DI22">
            <v>2.3812000000000002</v>
          </cell>
          <cell r="DJ22">
            <v>2.3284000000000002</v>
          </cell>
          <cell r="DK22">
            <v>2.2755999999999998</v>
          </cell>
          <cell r="DL22">
            <v>2.2227999999999999</v>
          </cell>
          <cell r="DM22">
            <v>2.17</v>
          </cell>
          <cell r="DN22">
            <v>2.1364999999999998</v>
          </cell>
          <cell r="DO22">
            <v>2.0869999999999997</v>
          </cell>
          <cell r="DP22">
            <v>2.0374999999999996</v>
          </cell>
          <cell r="DQ22">
            <v>1.988</v>
          </cell>
          <cell r="DR22">
            <v>1.9384999999999999</v>
          </cell>
          <cell r="DS22">
            <v>1.889</v>
          </cell>
          <cell r="DT22">
            <v>1.8394999999999999</v>
          </cell>
          <cell r="DU22"/>
        </row>
        <row r="23">
          <cell r="BV23">
            <v>48</v>
          </cell>
          <cell r="BW23">
            <v>3.919</v>
          </cell>
          <cell r="BX23">
            <v>3.9119999999999999</v>
          </cell>
          <cell r="BY23">
            <v>3.9050000000000002</v>
          </cell>
          <cell r="BZ23">
            <v>3.8980000000000001</v>
          </cell>
          <cell r="CA23">
            <v>3.891</v>
          </cell>
          <cell r="CB23">
            <v>3.8840000000000003</v>
          </cell>
          <cell r="CC23">
            <v>3.8770000000000002</v>
          </cell>
          <cell r="CD23">
            <v>3.87</v>
          </cell>
          <cell r="CE23">
            <v>3.863</v>
          </cell>
          <cell r="CF23">
            <v>3.8559999999999999</v>
          </cell>
          <cell r="CG23">
            <v>3.8490000000000002</v>
          </cell>
          <cell r="CH23">
            <v>3.8420000000000001</v>
          </cell>
          <cell r="CI23">
            <v>3.835</v>
          </cell>
          <cell r="CJ23">
            <v>3.8280000000000003</v>
          </cell>
          <cell r="CK23">
            <v>3.8210000000000002</v>
          </cell>
          <cell r="CL23">
            <v>3.8140000000000001</v>
          </cell>
          <cell r="CM23">
            <v>3.7742499999999999</v>
          </cell>
          <cell r="CN23">
            <v>3.7105000000000001</v>
          </cell>
          <cell r="CO23">
            <v>3.6467499999999999</v>
          </cell>
          <cell r="CP23">
            <v>3.5830000000000002</v>
          </cell>
          <cell r="CQ23">
            <v>3.51925</v>
          </cell>
          <cell r="CR23">
            <v>3.4554999999999998</v>
          </cell>
          <cell r="CS23">
            <v>3.39175</v>
          </cell>
          <cell r="CT23">
            <v>3.3279999999999998</v>
          </cell>
          <cell r="CU23">
            <v>3.2891851851851852</v>
          </cell>
          <cell r="CV23">
            <v>3.2210370370370374</v>
          </cell>
          <cell r="CW23">
            <v>3.1528888888888891</v>
          </cell>
          <cell r="CX23">
            <v>3.0847407407407408</v>
          </cell>
          <cell r="CY23">
            <v>3.0165925925925929</v>
          </cell>
          <cell r="CZ23">
            <v>2.9484444444444446</v>
          </cell>
          <cell r="DA23">
            <v>2.8802962962962964</v>
          </cell>
          <cell r="DB23">
            <v>2.8121481481481485</v>
          </cell>
          <cell r="DC23">
            <v>2.7440000000000002</v>
          </cell>
          <cell r="DD23">
            <v>2.6923333333333335</v>
          </cell>
          <cell r="DE23">
            <v>2.6190000000000002</v>
          </cell>
          <cell r="DF23">
            <v>2.5456666666666665</v>
          </cell>
          <cell r="DG23">
            <v>2.4723333333333333</v>
          </cell>
          <cell r="DH23">
            <v>2.399</v>
          </cell>
          <cell r="DI23">
            <v>2.3582000000000001</v>
          </cell>
          <cell r="DJ23">
            <v>2.3054000000000001</v>
          </cell>
          <cell r="DK23">
            <v>2.2525999999999997</v>
          </cell>
          <cell r="DL23">
            <v>2.1997999999999998</v>
          </cell>
          <cell r="DM23">
            <v>2.1469999999999998</v>
          </cell>
          <cell r="DN23">
            <v>2.1214999999999997</v>
          </cell>
          <cell r="DO23">
            <v>2.0719999999999996</v>
          </cell>
          <cell r="DP23">
            <v>2.0224999999999995</v>
          </cell>
          <cell r="DQ23">
            <v>1.9729999999999999</v>
          </cell>
          <cell r="DR23">
            <v>1.9234999999999998</v>
          </cell>
          <cell r="DS23">
            <v>1.8739999999999999</v>
          </cell>
          <cell r="DT23">
            <v>1.8244999999999998</v>
          </cell>
          <cell r="DU23"/>
        </row>
        <row r="24">
          <cell r="BV24">
            <v>49</v>
          </cell>
          <cell r="BW24">
            <v>3.867</v>
          </cell>
          <cell r="BX24">
            <v>3.8600000000000003</v>
          </cell>
          <cell r="BY24">
            <v>3.8530000000000002</v>
          </cell>
          <cell r="BZ24">
            <v>3.8460000000000001</v>
          </cell>
          <cell r="CA24">
            <v>3.839</v>
          </cell>
          <cell r="CB24">
            <v>3.8319999999999999</v>
          </cell>
          <cell r="CC24">
            <v>3.8250000000000002</v>
          </cell>
          <cell r="CD24">
            <v>3.8180000000000001</v>
          </cell>
          <cell r="CE24">
            <v>3.8109999999999999</v>
          </cell>
          <cell r="CF24">
            <v>3.8040000000000003</v>
          </cell>
          <cell r="CG24">
            <v>3.7970000000000002</v>
          </cell>
          <cell r="CH24">
            <v>3.79</v>
          </cell>
          <cell r="CI24">
            <v>3.7829999999999999</v>
          </cell>
          <cell r="CJ24">
            <v>3.7759999999999998</v>
          </cell>
          <cell r="CK24">
            <v>3.7690000000000001</v>
          </cell>
          <cell r="CL24">
            <v>3.762</v>
          </cell>
          <cell r="CM24">
            <v>3.7302499999999998</v>
          </cell>
          <cell r="CN24">
            <v>3.6665000000000001</v>
          </cell>
          <cell r="CO24">
            <v>3.6027499999999999</v>
          </cell>
          <cell r="CP24">
            <v>3.5389999999999997</v>
          </cell>
          <cell r="CQ24">
            <v>3.47525</v>
          </cell>
          <cell r="CR24">
            <v>3.4114999999999998</v>
          </cell>
          <cell r="CS24">
            <v>3.34775</v>
          </cell>
          <cell r="CT24">
            <v>3.2839999999999998</v>
          </cell>
          <cell r="CU24">
            <v>3.2549629629629631</v>
          </cell>
          <cell r="CV24">
            <v>3.1868148148148152</v>
          </cell>
          <cell r="CW24">
            <v>3.1186666666666669</v>
          </cell>
          <cell r="CX24">
            <v>3.0505185185185186</v>
          </cell>
          <cell r="CY24">
            <v>2.9823703703703708</v>
          </cell>
          <cell r="CZ24">
            <v>2.9142222222222225</v>
          </cell>
          <cell r="DA24">
            <v>2.8460740740740742</v>
          </cell>
          <cell r="DB24">
            <v>2.7779259259259264</v>
          </cell>
          <cell r="DC24">
            <v>2.7097777777777781</v>
          </cell>
          <cell r="DD24">
            <v>2.6653333333333333</v>
          </cell>
          <cell r="DE24">
            <v>2.5920000000000001</v>
          </cell>
          <cell r="DF24">
            <v>2.5186666666666664</v>
          </cell>
          <cell r="DG24">
            <v>2.4453333333333331</v>
          </cell>
          <cell r="DH24">
            <v>2.3719999999999999</v>
          </cell>
          <cell r="DI24">
            <v>2.3351999999999999</v>
          </cell>
          <cell r="DJ24">
            <v>2.2824</v>
          </cell>
          <cell r="DK24">
            <v>2.2295999999999996</v>
          </cell>
          <cell r="DL24">
            <v>2.1767999999999996</v>
          </cell>
          <cell r="DM24">
            <v>2.1239999999999997</v>
          </cell>
          <cell r="DN24">
            <v>2.1064999999999996</v>
          </cell>
          <cell r="DO24">
            <v>2.0569999999999999</v>
          </cell>
          <cell r="DP24">
            <v>2.0074999999999998</v>
          </cell>
          <cell r="DQ24">
            <v>1.9579999999999997</v>
          </cell>
          <cell r="DR24">
            <v>1.9084999999999999</v>
          </cell>
          <cell r="DS24">
            <v>1.859</v>
          </cell>
          <cell r="DT24">
            <v>1.8094999999999999</v>
          </cell>
          <cell r="DU24"/>
        </row>
        <row r="25">
          <cell r="BV25">
            <v>50</v>
          </cell>
          <cell r="BW25">
            <v>3.8149999999999999</v>
          </cell>
          <cell r="BX25">
            <v>3.8079999999999998</v>
          </cell>
          <cell r="BY25">
            <v>3.8010000000000002</v>
          </cell>
          <cell r="BZ25">
            <v>3.794</v>
          </cell>
          <cell r="CA25">
            <v>3.7869999999999999</v>
          </cell>
          <cell r="CB25">
            <v>3.7800000000000002</v>
          </cell>
          <cell r="CC25">
            <v>3.7730000000000001</v>
          </cell>
          <cell r="CD25">
            <v>3.766</v>
          </cell>
          <cell r="CE25">
            <v>3.7589999999999999</v>
          </cell>
          <cell r="CF25">
            <v>3.7519999999999998</v>
          </cell>
          <cell r="CG25">
            <v>3.7450000000000001</v>
          </cell>
          <cell r="CH25">
            <v>3.738</v>
          </cell>
          <cell r="CI25">
            <v>3.7309999999999999</v>
          </cell>
          <cell r="CJ25">
            <v>3.7240000000000002</v>
          </cell>
          <cell r="CK25">
            <v>3.7170000000000001</v>
          </cell>
          <cell r="CL25">
            <v>3.71</v>
          </cell>
          <cell r="CM25">
            <v>3.6862500000000002</v>
          </cell>
          <cell r="CN25">
            <v>3.6225000000000005</v>
          </cell>
          <cell r="CO25">
            <v>3.5587500000000003</v>
          </cell>
          <cell r="CP25">
            <v>3.4950000000000001</v>
          </cell>
          <cell r="CQ25">
            <v>3.4312500000000004</v>
          </cell>
          <cell r="CR25">
            <v>3.3675000000000002</v>
          </cell>
          <cell r="CS25">
            <v>3.3037500000000004</v>
          </cell>
          <cell r="CT25">
            <v>3.24</v>
          </cell>
          <cell r="CU25">
            <v>3.2207407407407405</v>
          </cell>
          <cell r="CV25">
            <v>3.1525925925925926</v>
          </cell>
          <cell r="CW25">
            <v>3.0844444444444443</v>
          </cell>
          <cell r="CX25">
            <v>3.016296296296296</v>
          </cell>
          <cell r="CY25">
            <v>2.9481481481481482</v>
          </cell>
          <cell r="CZ25">
            <v>2.88</v>
          </cell>
          <cell r="DA25">
            <v>2.8118518518518516</v>
          </cell>
          <cell r="DB25">
            <v>2.7437037037037038</v>
          </cell>
          <cell r="DC25">
            <v>2.6755555555555555</v>
          </cell>
          <cell r="DD25">
            <v>2.6383333333333332</v>
          </cell>
          <cell r="DE25">
            <v>2.5649999999999999</v>
          </cell>
          <cell r="DF25">
            <v>2.4916666666666663</v>
          </cell>
          <cell r="DG25">
            <v>2.418333333333333</v>
          </cell>
          <cell r="DH25">
            <v>2.3449999999999998</v>
          </cell>
          <cell r="DI25">
            <v>2.3122000000000003</v>
          </cell>
          <cell r="DJ25">
            <v>2.2594000000000003</v>
          </cell>
          <cell r="DK25">
            <v>2.2065999999999999</v>
          </cell>
          <cell r="DL25">
            <v>2.1537999999999999</v>
          </cell>
          <cell r="DM25">
            <v>2.101</v>
          </cell>
          <cell r="DN25">
            <v>2.0914999999999999</v>
          </cell>
          <cell r="DO25">
            <v>2.0419999999999998</v>
          </cell>
          <cell r="DP25">
            <v>1.9924999999999999</v>
          </cell>
          <cell r="DQ25">
            <v>1.9430000000000001</v>
          </cell>
          <cell r="DR25">
            <v>1.8935</v>
          </cell>
          <cell r="DS25">
            <v>1.8440000000000001</v>
          </cell>
          <cell r="DT25">
            <v>1.7945</v>
          </cell>
          <cell r="DU25"/>
        </row>
        <row r="26">
          <cell r="BV26">
            <v>51</v>
          </cell>
          <cell r="BW26">
            <v>3.7630000000000003</v>
          </cell>
          <cell r="BX26">
            <v>3.7560000000000002</v>
          </cell>
          <cell r="BY26">
            <v>3.7490000000000006</v>
          </cell>
          <cell r="BZ26">
            <v>3.7420000000000004</v>
          </cell>
          <cell r="CA26">
            <v>3.7350000000000003</v>
          </cell>
          <cell r="CB26">
            <v>3.7280000000000006</v>
          </cell>
          <cell r="CC26">
            <v>3.7210000000000005</v>
          </cell>
          <cell r="CD26">
            <v>3.7140000000000004</v>
          </cell>
          <cell r="CE26">
            <v>3.7070000000000003</v>
          </cell>
          <cell r="CF26">
            <v>3.7</v>
          </cell>
          <cell r="CG26">
            <v>3.6930000000000005</v>
          </cell>
          <cell r="CH26">
            <v>3.6860000000000004</v>
          </cell>
          <cell r="CI26">
            <v>3.6790000000000003</v>
          </cell>
          <cell r="CJ26">
            <v>3.6720000000000006</v>
          </cell>
          <cell r="CK26">
            <v>3.6650000000000005</v>
          </cell>
          <cell r="CL26">
            <v>3.6580000000000004</v>
          </cell>
          <cell r="CM26">
            <v>3.6422499999999998</v>
          </cell>
          <cell r="CN26">
            <v>3.5785</v>
          </cell>
          <cell r="CO26">
            <v>3.5147499999999998</v>
          </cell>
          <cell r="CP26">
            <v>3.4509999999999996</v>
          </cell>
          <cell r="CQ26">
            <v>3.3872499999999999</v>
          </cell>
          <cell r="CR26">
            <v>3.3234999999999997</v>
          </cell>
          <cell r="CS26">
            <v>3.2597499999999999</v>
          </cell>
          <cell r="CT26">
            <v>3.1959999999999997</v>
          </cell>
          <cell r="CU26">
            <v>3.1865185185185183</v>
          </cell>
          <cell r="CV26">
            <v>3.1183703703703705</v>
          </cell>
          <cell r="CW26">
            <v>3.0502222222222222</v>
          </cell>
          <cell r="CX26">
            <v>2.9820740740740739</v>
          </cell>
          <cell r="CY26">
            <v>2.913925925925926</v>
          </cell>
          <cell r="CZ26">
            <v>2.8457777777777777</v>
          </cell>
          <cell r="DA26">
            <v>2.7776296296296294</v>
          </cell>
          <cell r="DB26">
            <v>2.7094814814814816</v>
          </cell>
          <cell r="DC26">
            <v>2.6413333333333333</v>
          </cell>
          <cell r="DD26">
            <v>2.6113333333333335</v>
          </cell>
          <cell r="DE26">
            <v>2.5380000000000003</v>
          </cell>
          <cell r="DF26">
            <v>2.4646666666666666</v>
          </cell>
          <cell r="DG26">
            <v>2.3913333333333333</v>
          </cell>
          <cell r="DH26">
            <v>2.3180000000000001</v>
          </cell>
          <cell r="DI26">
            <v>2.2892000000000001</v>
          </cell>
          <cell r="DJ26">
            <v>2.2364000000000002</v>
          </cell>
          <cell r="DK26">
            <v>2.1835999999999998</v>
          </cell>
          <cell r="DL26">
            <v>2.1307999999999998</v>
          </cell>
          <cell r="DM26">
            <v>2.0779999999999998</v>
          </cell>
          <cell r="DN26">
            <v>2.0764999999999998</v>
          </cell>
          <cell r="DO26">
            <v>2.0269999999999997</v>
          </cell>
          <cell r="DP26">
            <v>1.9774999999999998</v>
          </cell>
          <cell r="DQ26">
            <v>1.9279999999999999</v>
          </cell>
          <cell r="DR26">
            <v>1.8784999999999998</v>
          </cell>
          <cell r="DS26">
            <v>1.829</v>
          </cell>
          <cell r="DT26">
            <v>1.7794999999999999</v>
          </cell>
          <cell r="DU26"/>
        </row>
        <row r="27">
          <cell r="BV27">
            <v>52</v>
          </cell>
          <cell r="BW27">
            <v>3.7110000000000003</v>
          </cell>
          <cell r="BX27">
            <v>3.7040000000000006</v>
          </cell>
          <cell r="BY27">
            <v>3.6970000000000005</v>
          </cell>
          <cell r="BZ27">
            <v>3.6900000000000004</v>
          </cell>
          <cell r="CA27">
            <v>3.6830000000000003</v>
          </cell>
          <cell r="CB27">
            <v>3.6760000000000002</v>
          </cell>
          <cell r="CC27">
            <v>3.6690000000000005</v>
          </cell>
          <cell r="CD27">
            <v>3.6620000000000004</v>
          </cell>
          <cell r="CE27">
            <v>3.6550000000000002</v>
          </cell>
          <cell r="CF27">
            <v>3.6480000000000006</v>
          </cell>
          <cell r="CG27">
            <v>3.6410000000000005</v>
          </cell>
          <cell r="CH27">
            <v>3.6340000000000003</v>
          </cell>
          <cell r="CI27">
            <v>3.6270000000000002</v>
          </cell>
          <cell r="CJ27">
            <v>3.62</v>
          </cell>
          <cell r="CK27">
            <v>3.6130000000000004</v>
          </cell>
          <cell r="CL27">
            <v>3.6060000000000003</v>
          </cell>
          <cell r="CM27">
            <v>3.5982500000000002</v>
          </cell>
          <cell r="CN27">
            <v>3.5345000000000004</v>
          </cell>
          <cell r="CO27">
            <v>3.4707500000000002</v>
          </cell>
          <cell r="CP27">
            <v>3.407</v>
          </cell>
          <cell r="CQ27">
            <v>3.3432500000000003</v>
          </cell>
          <cell r="CR27">
            <v>3.2795000000000001</v>
          </cell>
          <cell r="CS27">
            <v>3.2157500000000003</v>
          </cell>
          <cell r="CT27">
            <v>3.1520000000000001</v>
          </cell>
          <cell r="CU27">
            <v>3.1522962962962962</v>
          </cell>
          <cell r="CV27">
            <v>3.0841481481481483</v>
          </cell>
          <cell r="CW27">
            <v>3.016</v>
          </cell>
          <cell r="CX27">
            <v>2.9478518518518517</v>
          </cell>
          <cell r="CY27">
            <v>2.8797037037037039</v>
          </cell>
          <cell r="CZ27">
            <v>2.8115555555555556</v>
          </cell>
          <cell r="DA27">
            <v>2.7434074074074073</v>
          </cell>
          <cell r="DB27">
            <v>2.6752592592592594</v>
          </cell>
          <cell r="DC27">
            <v>2.6071111111111112</v>
          </cell>
          <cell r="DD27">
            <v>2.5843333333333334</v>
          </cell>
          <cell r="DE27">
            <v>2.5110000000000001</v>
          </cell>
          <cell r="DF27">
            <v>2.4376666666666664</v>
          </cell>
          <cell r="DG27">
            <v>2.3643333333333332</v>
          </cell>
          <cell r="DH27">
            <v>2.2909999999999999</v>
          </cell>
          <cell r="DI27">
            <v>2.2662</v>
          </cell>
          <cell r="DJ27">
            <v>2.2134</v>
          </cell>
          <cell r="DK27">
            <v>2.1605999999999996</v>
          </cell>
          <cell r="DL27">
            <v>2.1077999999999997</v>
          </cell>
          <cell r="DM27">
            <v>2.0549999999999997</v>
          </cell>
          <cell r="DN27">
            <v>2.0614999999999997</v>
          </cell>
          <cell r="DO27">
            <v>2.0119999999999996</v>
          </cell>
          <cell r="DP27">
            <v>1.9624999999999997</v>
          </cell>
          <cell r="DQ27">
            <v>1.9129999999999998</v>
          </cell>
          <cell r="DR27">
            <v>1.8634999999999997</v>
          </cell>
          <cell r="DS27">
            <v>1.8139999999999998</v>
          </cell>
          <cell r="DT27">
            <v>1.7644999999999997</v>
          </cell>
          <cell r="DU27"/>
        </row>
        <row r="28">
          <cell r="BV28">
            <v>53</v>
          </cell>
          <cell r="BW28">
            <v>3.6590000000000003</v>
          </cell>
          <cell r="BX28">
            <v>3.6520000000000001</v>
          </cell>
          <cell r="BY28">
            <v>3.6450000000000005</v>
          </cell>
          <cell r="BZ28">
            <v>3.6380000000000003</v>
          </cell>
          <cell r="CA28">
            <v>3.6310000000000002</v>
          </cell>
          <cell r="CB28">
            <v>3.6240000000000006</v>
          </cell>
          <cell r="CC28">
            <v>3.6170000000000004</v>
          </cell>
          <cell r="CD28">
            <v>3.6100000000000003</v>
          </cell>
          <cell r="CE28">
            <v>3.6030000000000002</v>
          </cell>
          <cell r="CF28">
            <v>3.5960000000000001</v>
          </cell>
          <cell r="CG28">
            <v>3.5890000000000004</v>
          </cell>
          <cell r="CH28">
            <v>3.5820000000000003</v>
          </cell>
          <cell r="CI28">
            <v>3.5750000000000002</v>
          </cell>
          <cell r="CJ28">
            <v>3.5680000000000005</v>
          </cell>
          <cell r="CK28">
            <v>3.5610000000000004</v>
          </cell>
          <cell r="CL28">
            <v>3.5540000000000003</v>
          </cell>
          <cell r="CM28">
            <v>3.5542500000000001</v>
          </cell>
          <cell r="CN28">
            <v>3.4905000000000004</v>
          </cell>
          <cell r="CO28">
            <v>3.4267500000000002</v>
          </cell>
          <cell r="CP28">
            <v>3.3630000000000004</v>
          </cell>
          <cell r="CQ28">
            <v>3.2992500000000002</v>
          </cell>
          <cell r="CR28">
            <v>3.2355</v>
          </cell>
          <cell r="CS28">
            <v>3.1717500000000003</v>
          </cell>
          <cell r="CT28">
            <v>3.1080000000000001</v>
          </cell>
          <cell r="CU28">
            <v>3.118074074074074</v>
          </cell>
          <cell r="CV28">
            <v>3.0499259259259262</v>
          </cell>
          <cell r="CW28">
            <v>2.9817777777777779</v>
          </cell>
          <cell r="CX28">
            <v>2.9136296296296296</v>
          </cell>
          <cell r="CY28">
            <v>2.8454814814814817</v>
          </cell>
          <cell r="CZ28">
            <v>2.7773333333333334</v>
          </cell>
          <cell r="DA28">
            <v>2.7091851851851851</v>
          </cell>
          <cell r="DB28">
            <v>2.6410370370370373</v>
          </cell>
          <cell r="DC28">
            <v>2.572888888888889</v>
          </cell>
          <cell r="DD28">
            <v>2.5573333333333332</v>
          </cell>
          <cell r="DE28">
            <v>2.484</v>
          </cell>
          <cell r="DF28">
            <v>2.4106666666666663</v>
          </cell>
          <cell r="DG28">
            <v>2.337333333333333</v>
          </cell>
          <cell r="DH28">
            <v>2.2639999999999998</v>
          </cell>
          <cell r="DI28">
            <v>2.2432000000000003</v>
          </cell>
          <cell r="DJ28">
            <v>2.1904000000000003</v>
          </cell>
          <cell r="DK28">
            <v>2.1375999999999999</v>
          </cell>
          <cell r="DL28">
            <v>2.0848</v>
          </cell>
          <cell r="DM28">
            <v>2.032</v>
          </cell>
          <cell r="DN28">
            <v>2.0464999999999995</v>
          </cell>
          <cell r="DO28">
            <v>1.9969999999999997</v>
          </cell>
          <cell r="DP28">
            <v>1.9474999999999998</v>
          </cell>
          <cell r="DQ28">
            <v>1.8979999999999997</v>
          </cell>
          <cell r="DR28">
            <v>1.8484999999999998</v>
          </cell>
          <cell r="DS28">
            <v>1.7989999999999999</v>
          </cell>
          <cell r="DT28">
            <v>1.7494999999999998</v>
          </cell>
          <cell r="DU28"/>
        </row>
        <row r="29">
          <cell r="BV29">
            <v>54</v>
          </cell>
          <cell r="BW29">
            <v>3.6070000000000002</v>
          </cell>
          <cell r="BX29">
            <v>3.6000000000000005</v>
          </cell>
          <cell r="BY29">
            <v>3.5930000000000004</v>
          </cell>
          <cell r="BZ29">
            <v>3.5860000000000003</v>
          </cell>
          <cell r="CA29">
            <v>3.5790000000000002</v>
          </cell>
          <cell r="CB29">
            <v>3.5720000000000001</v>
          </cell>
          <cell r="CC29">
            <v>3.5650000000000004</v>
          </cell>
          <cell r="CD29">
            <v>3.5580000000000003</v>
          </cell>
          <cell r="CE29">
            <v>3.5510000000000002</v>
          </cell>
          <cell r="CF29">
            <v>3.5440000000000005</v>
          </cell>
          <cell r="CG29">
            <v>3.5370000000000004</v>
          </cell>
          <cell r="CH29">
            <v>3.5300000000000002</v>
          </cell>
          <cell r="CI29">
            <v>3.5230000000000001</v>
          </cell>
          <cell r="CJ29">
            <v>3.516</v>
          </cell>
          <cell r="CK29">
            <v>3.5090000000000003</v>
          </cell>
          <cell r="CL29">
            <v>3.5020000000000002</v>
          </cell>
          <cell r="CM29">
            <v>3.5102500000000001</v>
          </cell>
          <cell r="CN29">
            <v>3.4465000000000003</v>
          </cell>
          <cell r="CO29">
            <v>3.3827500000000001</v>
          </cell>
          <cell r="CP29">
            <v>3.319</v>
          </cell>
          <cell r="CQ29">
            <v>3.2552500000000002</v>
          </cell>
          <cell r="CR29">
            <v>3.1915</v>
          </cell>
          <cell r="CS29">
            <v>3.1277500000000003</v>
          </cell>
          <cell r="CT29">
            <v>3.0640000000000001</v>
          </cell>
          <cell r="CU29">
            <v>3.0838518518518518</v>
          </cell>
          <cell r="CV29">
            <v>3.015703703703704</v>
          </cell>
          <cell r="CW29">
            <v>2.9475555555555557</v>
          </cell>
          <cell r="CX29">
            <v>2.8794074074074074</v>
          </cell>
          <cell r="CY29">
            <v>2.8112592592592596</v>
          </cell>
          <cell r="CZ29">
            <v>2.7431111111111113</v>
          </cell>
          <cell r="DA29">
            <v>2.674962962962963</v>
          </cell>
          <cell r="DB29">
            <v>2.6068148148148151</v>
          </cell>
          <cell r="DC29">
            <v>2.5386666666666668</v>
          </cell>
          <cell r="DD29">
            <v>2.5303333333333335</v>
          </cell>
          <cell r="DE29">
            <v>2.4570000000000003</v>
          </cell>
          <cell r="DF29">
            <v>2.3836666666666666</v>
          </cell>
          <cell r="DG29">
            <v>2.3103333333333333</v>
          </cell>
          <cell r="DH29">
            <v>2.2370000000000001</v>
          </cell>
          <cell r="DI29">
            <v>2.2202000000000002</v>
          </cell>
          <cell r="DJ29">
            <v>2.1674000000000002</v>
          </cell>
          <cell r="DK29">
            <v>2.1145999999999998</v>
          </cell>
          <cell r="DL29">
            <v>2.0617999999999999</v>
          </cell>
          <cell r="DM29">
            <v>2.0089999999999999</v>
          </cell>
          <cell r="DN29">
            <v>2.0314999999999999</v>
          </cell>
          <cell r="DO29">
            <v>1.9819999999999998</v>
          </cell>
          <cell r="DP29">
            <v>1.9324999999999999</v>
          </cell>
          <cell r="DQ29">
            <v>1.883</v>
          </cell>
          <cell r="DR29">
            <v>1.8334999999999999</v>
          </cell>
          <cell r="DS29">
            <v>1.784</v>
          </cell>
          <cell r="DT29">
            <v>1.7344999999999999</v>
          </cell>
          <cell r="DU29"/>
        </row>
        <row r="30">
          <cell r="BV30">
            <v>55</v>
          </cell>
          <cell r="BW30">
            <v>3.6150000000000002</v>
          </cell>
          <cell r="BX30">
            <v>3.6040000000000001</v>
          </cell>
          <cell r="BY30">
            <v>3.593</v>
          </cell>
          <cell r="BZ30">
            <v>3.5819999999999999</v>
          </cell>
          <cell r="CA30">
            <v>3.5710000000000002</v>
          </cell>
          <cell r="CB30">
            <v>3.56</v>
          </cell>
          <cell r="CC30">
            <v>3.5489999999999999</v>
          </cell>
          <cell r="CD30">
            <v>3.5380000000000003</v>
          </cell>
          <cell r="CE30">
            <v>3.5270000000000001</v>
          </cell>
          <cell r="CF30">
            <v>3.516</v>
          </cell>
          <cell r="CG30">
            <v>3.5049999999999999</v>
          </cell>
          <cell r="CH30">
            <v>3.4940000000000002</v>
          </cell>
          <cell r="CI30">
            <v>3.4830000000000001</v>
          </cell>
          <cell r="CJ30">
            <v>3.472</v>
          </cell>
          <cell r="CK30">
            <v>3.4610000000000003</v>
          </cell>
          <cell r="CL30">
            <v>3.45</v>
          </cell>
          <cell r="CM30">
            <v>3.3962500000000002</v>
          </cell>
          <cell r="CN30">
            <v>3.3425000000000002</v>
          </cell>
          <cell r="CO30">
            <v>3.2887500000000003</v>
          </cell>
          <cell r="CP30">
            <v>3.2350000000000003</v>
          </cell>
          <cell r="CQ30">
            <v>3.1812499999999999</v>
          </cell>
          <cell r="CR30">
            <v>3.1274999999999999</v>
          </cell>
          <cell r="CS30">
            <v>3.07375</v>
          </cell>
          <cell r="CT30">
            <v>3.02</v>
          </cell>
          <cell r="CU30">
            <v>2.962716049382716</v>
          </cell>
          <cell r="CV30">
            <v>2.9054320987654321</v>
          </cell>
          <cell r="CW30">
            <v>2.8481481481481481</v>
          </cell>
          <cell r="CX30">
            <v>2.7908641975308646</v>
          </cell>
          <cell r="CY30">
            <v>2.7335802469135806</v>
          </cell>
          <cell r="CZ30">
            <v>2.6762962962962966</v>
          </cell>
          <cell r="DA30">
            <v>2.6190123456790126</v>
          </cell>
          <cell r="DB30">
            <v>2.5617283950617287</v>
          </cell>
          <cell r="DC30">
            <v>2.5044444444444447</v>
          </cell>
          <cell r="DD30">
            <v>2.4455555555555559</v>
          </cell>
          <cell r="DE30">
            <v>2.3866666666666667</v>
          </cell>
          <cell r="DF30">
            <v>2.3277777777777779</v>
          </cell>
          <cell r="DG30">
            <v>2.2688888888888887</v>
          </cell>
          <cell r="DH30">
            <v>2.21</v>
          </cell>
          <cell r="DI30">
            <v>2.1652</v>
          </cell>
          <cell r="DJ30">
            <v>2.1204000000000001</v>
          </cell>
          <cell r="DK30">
            <v>2.0756000000000001</v>
          </cell>
          <cell r="DL30">
            <v>2.0308000000000002</v>
          </cell>
          <cell r="DM30">
            <v>1.986</v>
          </cell>
          <cell r="DN30">
            <v>1.9464999999999999</v>
          </cell>
          <cell r="DO30">
            <v>1.907</v>
          </cell>
          <cell r="DP30">
            <v>1.8674999999999999</v>
          </cell>
          <cell r="DQ30">
            <v>1.8279999999999998</v>
          </cell>
          <cell r="DR30">
            <v>1.7885</v>
          </cell>
          <cell r="DS30">
            <v>1.7489999999999999</v>
          </cell>
          <cell r="DT30">
            <v>1.7095</v>
          </cell>
          <cell r="DU30"/>
        </row>
        <row r="31">
          <cell r="BV31">
            <v>56</v>
          </cell>
          <cell r="BW31">
            <v>3.5549999999999997</v>
          </cell>
          <cell r="BX31">
            <v>3.544</v>
          </cell>
          <cell r="BY31">
            <v>3.5329999999999999</v>
          </cell>
          <cell r="BZ31">
            <v>3.5219999999999998</v>
          </cell>
          <cell r="CA31">
            <v>3.5110000000000001</v>
          </cell>
          <cell r="CB31">
            <v>3.5</v>
          </cell>
          <cell r="CC31">
            <v>3.4889999999999999</v>
          </cell>
          <cell r="CD31">
            <v>3.4780000000000002</v>
          </cell>
          <cell r="CE31">
            <v>3.4670000000000001</v>
          </cell>
          <cell r="CF31">
            <v>3.456</v>
          </cell>
          <cell r="CG31">
            <v>3.4450000000000003</v>
          </cell>
          <cell r="CH31">
            <v>3.4340000000000002</v>
          </cell>
          <cell r="CI31">
            <v>3.423</v>
          </cell>
          <cell r="CJ31">
            <v>3.4119999999999999</v>
          </cell>
          <cell r="CK31">
            <v>3.4010000000000002</v>
          </cell>
          <cell r="CL31">
            <v>3.39</v>
          </cell>
          <cell r="CM31">
            <v>3.3492500000000001</v>
          </cell>
          <cell r="CN31">
            <v>3.2955000000000001</v>
          </cell>
          <cell r="CO31">
            <v>3.2417500000000001</v>
          </cell>
          <cell r="CP31">
            <v>3.1879999999999997</v>
          </cell>
          <cell r="CQ31">
            <v>3.1342499999999998</v>
          </cell>
          <cell r="CR31">
            <v>3.0804999999999998</v>
          </cell>
          <cell r="CS31">
            <v>3.0267499999999998</v>
          </cell>
          <cell r="CT31">
            <v>2.9729999999999999</v>
          </cell>
          <cell r="CU31">
            <v>2.9284938271604939</v>
          </cell>
          <cell r="CV31">
            <v>2.8712098765432099</v>
          </cell>
          <cell r="CW31">
            <v>2.8139259259259259</v>
          </cell>
          <cell r="CX31">
            <v>2.756641975308642</v>
          </cell>
          <cell r="CY31">
            <v>2.6993580246913584</v>
          </cell>
          <cell r="CZ31">
            <v>2.6420740740740745</v>
          </cell>
          <cell r="DA31">
            <v>2.5847901234567905</v>
          </cell>
          <cell r="DB31">
            <v>2.5275061728395065</v>
          </cell>
          <cell r="DC31">
            <v>2.4702222222222225</v>
          </cell>
          <cell r="DD31">
            <v>2.4185555555555558</v>
          </cell>
          <cell r="DE31">
            <v>2.3596666666666666</v>
          </cell>
          <cell r="DF31">
            <v>2.3007777777777778</v>
          </cell>
          <cell r="DG31">
            <v>2.2418888888888886</v>
          </cell>
          <cell r="DH31">
            <v>2.1829999999999998</v>
          </cell>
          <cell r="DI31">
            <v>2.1437999999999997</v>
          </cell>
          <cell r="DJ31">
            <v>2.0989999999999998</v>
          </cell>
          <cell r="DK31">
            <v>2.0541999999999998</v>
          </cell>
          <cell r="DL31">
            <v>2.0093999999999999</v>
          </cell>
          <cell r="DM31">
            <v>1.9645999999999999</v>
          </cell>
          <cell r="DN31">
            <v>1.9315000000000002</v>
          </cell>
          <cell r="DO31">
            <v>1.8920000000000001</v>
          </cell>
          <cell r="DP31">
            <v>1.8525</v>
          </cell>
          <cell r="DQ31">
            <v>1.8130000000000002</v>
          </cell>
          <cell r="DR31">
            <v>1.7735000000000001</v>
          </cell>
          <cell r="DS31">
            <v>1.734</v>
          </cell>
          <cell r="DT31">
            <v>1.6945000000000001</v>
          </cell>
          <cell r="DU31"/>
        </row>
        <row r="32">
          <cell r="BV32">
            <v>57</v>
          </cell>
          <cell r="BW32">
            <v>3.4950000000000001</v>
          </cell>
          <cell r="BX32">
            <v>3.484</v>
          </cell>
          <cell r="BY32">
            <v>3.4729999999999999</v>
          </cell>
          <cell r="BZ32">
            <v>3.4619999999999997</v>
          </cell>
          <cell r="CA32">
            <v>3.4510000000000001</v>
          </cell>
          <cell r="CB32">
            <v>3.44</v>
          </cell>
          <cell r="CC32">
            <v>3.4289999999999998</v>
          </cell>
          <cell r="CD32">
            <v>3.4180000000000001</v>
          </cell>
          <cell r="CE32">
            <v>3.407</v>
          </cell>
          <cell r="CF32">
            <v>3.3959999999999999</v>
          </cell>
          <cell r="CG32">
            <v>3.3849999999999998</v>
          </cell>
          <cell r="CH32">
            <v>3.3740000000000001</v>
          </cell>
          <cell r="CI32">
            <v>3.363</v>
          </cell>
          <cell r="CJ32">
            <v>3.3519999999999999</v>
          </cell>
          <cell r="CK32">
            <v>3.3410000000000002</v>
          </cell>
          <cell r="CL32">
            <v>3.33</v>
          </cell>
          <cell r="CM32">
            <v>3.3022500000000004</v>
          </cell>
          <cell r="CN32">
            <v>3.2485000000000004</v>
          </cell>
          <cell r="CO32">
            <v>3.1947500000000004</v>
          </cell>
          <cell r="CP32">
            <v>3.141</v>
          </cell>
          <cell r="CQ32">
            <v>3.08725</v>
          </cell>
          <cell r="CR32">
            <v>3.0335000000000001</v>
          </cell>
          <cell r="CS32">
            <v>2.9797500000000001</v>
          </cell>
          <cell r="CT32">
            <v>2.9260000000000002</v>
          </cell>
          <cell r="CU32">
            <v>2.8942716049382717</v>
          </cell>
          <cell r="CV32">
            <v>2.8369876543209878</v>
          </cell>
          <cell r="CW32">
            <v>2.7797037037037038</v>
          </cell>
          <cell r="CX32">
            <v>2.7224197530864203</v>
          </cell>
          <cell r="CY32">
            <v>2.6651358024691363</v>
          </cell>
          <cell r="CZ32">
            <v>2.6078518518518523</v>
          </cell>
          <cell r="DA32">
            <v>2.5505679012345683</v>
          </cell>
          <cell r="DB32">
            <v>2.4932839506172844</v>
          </cell>
          <cell r="DC32">
            <v>2.4360000000000004</v>
          </cell>
          <cell r="DD32">
            <v>2.3915555555555561</v>
          </cell>
          <cell r="DE32">
            <v>2.3326666666666669</v>
          </cell>
          <cell r="DF32">
            <v>2.2737777777777781</v>
          </cell>
          <cell r="DG32">
            <v>2.2148888888888889</v>
          </cell>
          <cell r="DH32">
            <v>2.1560000000000001</v>
          </cell>
          <cell r="DI32">
            <v>2.1223999999999998</v>
          </cell>
          <cell r="DJ32">
            <v>2.0775999999999999</v>
          </cell>
          <cell r="DK32">
            <v>2.0327999999999999</v>
          </cell>
          <cell r="DL32">
            <v>1.988</v>
          </cell>
          <cell r="DM32">
            <v>1.9432</v>
          </cell>
          <cell r="DN32">
            <v>1.9165000000000001</v>
          </cell>
          <cell r="DO32">
            <v>1.877</v>
          </cell>
          <cell r="DP32">
            <v>1.8374999999999999</v>
          </cell>
          <cell r="DQ32">
            <v>1.798</v>
          </cell>
          <cell r="DR32">
            <v>1.7585</v>
          </cell>
          <cell r="DS32">
            <v>1.7189999999999999</v>
          </cell>
          <cell r="DT32">
            <v>1.6795</v>
          </cell>
          <cell r="DU32"/>
        </row>
        <row r="33">
          <cell r="BV33">
            <v>58</v>
          </cell>
          <cell r="BW33">
            <v>3.4349999999999996</v>
          </cell>
          <cell r="BX33">
            <v>3.4239999999999999</v>
          </cell>
          <cell r="BY33">
            <v>3.4129999999999998</v>
          </cell>
          <cell r="BZ33">
            <v>3.4019999999999997</v>
          </cell>
          <cell r="CA33">
            <v>3.391</v>
          </cell>
          <cell r="CB33">
            <v>3.38</v>
          </cell>
          <cell r="CC33">
            <v>3.3689999999999998</v>
          </cell>
          <cell r="CD33">
            <v>3.3580000000000001</v>
          </cell>
          <cell r="CE33">
            <v>3.347</v>
          </cell>
          <cell r="CF33">
            <v>3.3359999999999999</v>
          </cell>
          <cell r="CG33">
            <v>3.3250000000000002</v>
          </cell>
          <cell r="CH33">
            <v>3.3140000000000001</v>
          </cell>
          <cell r="CI33">
            <v>3.3029999999999999</v>
          </cell>
          <cell r="CJ33">
            <v>3.2919999999999998</v>
          </cell>
          <cell r="CK33">
            <v>3.2810000000000001</v>
          </cell>
          <cell r="CL33">
            <v>3.27</v>
          </cell>
          <cell r="CM33">
            <v>3.2552500000000002</v>
          </cell>
          <cell r="CN33">
            <v>3.2015000000000002</v>
          </cell>
          <cell r="CO33">
            <v>3.1477500000000003</v>
          </cell>
          <cell r="CP33">
            <v>3.0940000000000003</v>
          </cell>
          <cell r="CQ33">
            <v>3.0402499999999999</v>
          </cell>
          <cell r="CR33">
            <v>2.9864999999999999</v>
          </cell>
          <cell r="CS33">
            <v>2.93275</v>
          </cell>
          <cell r="CT33">
            <v>2.879</v>
          </cell>
          <cell r="CU33">
            <v>2.8600493827160491</v>
          </cell>
          <cell r="CV33">
            <v>2.8027654320987652</v>
          </cell>
          <cell r="CW33">
            <v>2.7454814814814812</v>
          </cell>
          <cell r="CX33">
            <v>2.6881975308641977</v>
          </cell>
          <cell r="CY33">
            <v>2.6309135802469137</v>
          </cell>
          <cell r="CZ33">
            <v>2.5736296296296297</v>
          </cell>
          <cell r="DA33">
            <v>2.5163456790123457</v>
          </cell>
          <cell r="DB33">
            <v>2.4590617283950618</v>
          </cell>
          <cell r="DC33">
            <v>2.4017777777777778</v>
          </cell>
          <cell r="DD33">
            <v>2.364555555555556</v>
          </cell>
          <cell r="DE33">
            <v>2.3056666666666668</v>
          </cell>
          <cell r="DF33">
            <v>2.246777777777778</v>
          </cell>
          <cell r="DG33">
            <v>2.1878888888888888</v>
          </cell>
          <cell r="DH33">
            <v>2.129</v>
          </cell>
          <cell r="DI33">
            <v>2.101</v>
          </cell>
          <cell r="DJ33">
            <v>2.0562</v>
          </cell>
          <cell r="DK33">
            <v>2.0114000000000001</v>
          </cell>
          <cell r="DL33">
            <v>1.9665999999999999</v>
          </cell>
          <cell r="DM33">
            <v>1.9218</v>
          </cell>
          <cell r="DN33">
            <v>1.9015</v>
          </cell>
          <cell r="DO33">
            <v>1.8620000000000001</v>
          </cell>
          <cell r="DP33">
            <v>1.8225</v>
          </cell>
          <cell r="DQ33">
            <v>1.7829999999999999</v>
          </cell>
          <cell r="DR33">
            <v>1.7435</v>
          </cell>
          <cell r="DS33">
            <v>1.704</v>
          </cell>
          <cell r="DT33">
            <v>1.6645000000000001</v>
          </cell>
          <cell r="DU33"/>
        </row>
        <row r="34">
          <cell r="BV34">
            <v>59</v>
          </cell>
          <cell r="BW34">
            <v>3.375</v>
          </cell>
          <cell r="BX34">
            <v>3.3639999999999999</v>
          </cell>
          <cell r="BY34">
            <v>3.3529999999999998</v>
          </cell>
          <cell r="BZ34">
            <v>3.3419999999999996</v>
          </cell>
          <cell r="CA34">
            <v>3.331</v>
          </cell>
          <cell r="CB34">
            <v>3.32</v>
          </cell>
          <cell r="CC34">
            <v>3.3089999999999997</v>
          </cell>
          <cell r="CD34">
            <v>3.298</v>
          </cell>
          <cell r="CE34">
            <v>3.2869999999999999</v>
          </cell>
          <cell r="CF34">
            <v>3.2759999999999998</v>
          </cell>
          <cell r="CG34">
            <v>3.2649999999999997</v>
          </cell>
          <cell r="CH34">
            <v>3.254</v>
          </cell>
          <cell r="CI34">
            <v>3.2429999999999999</v>
          </cell>
          <cell r="CJ34">
            <v>3.2319999999999998</v>
          </cell>
          <cell r="CK34">
            <v>3.2210000000000001</v>
          </cell>
          <cell r="CL34">
            <v>3.21</v>
          </cell>
          <cell r="CM34">
            <v>3.20825</v>
          </cell>
          <cell r="CN34">
            <v>3.1545000000000001</v>
          </cell>
          <cell r="CO34">
            <v>3.1007500000000001</v>
          </cell>
          <cell r="CP34">
            <v>3.0469999999999997</v>
          </cell>
          <cell r="CQ34">
            <v>2.9932499999999997</v>
          </cell>
          <cell r="CR34">
            <v>2.9394999999999998</v>
          </cell>
          <cell r="CS34">
            <v>2.8857499999999998</v>
          </cell>
          <cell r="CT34">
            <v>2.8319999999999999</v>
          </cell>
          <cell r="CU34">
            <v>2.825827160493827</v>
          </cell>
          <cell r="CV34">
            <v>2.768543209876543</v>
          </cell>
          <cell r="CW34">
            <v>2.711259259259259</v>
          </cell>
          <cell r="CX34">
            <v>2.6539753086419751</v>
          </cell>
          <cell r="CY34">
            <v>2.5966913580246915</v>
          </cell>
          <cell r="CZ34">
            <v>2.5394074074074076</v>
          </cell>
          <cell r="DA34">
            <v>2.4821234567901236</v>
          </cell>
          <cell r="DB34">
            <v>2.4248395061728396</v>
          </cell>
          <cell r="DC34">
            <v>2.3675555555555556</v>
          </cell>
          <cell r="DD34">
            <v>2.3375555555555558</v>
          </cell>
          <cell r="DE34">
            <v>2.2786666666666666</v>
          </cell>
          <cell r="DF34">
            <v>2.2197777777777778</v>
          </cell>
          <cell r="DG34">
            <v>2.1608888888888886</v>
          </cell>
          <cell r="DH34">
            <v>2.1019999999999999</v>
          </cell>
          <cell r="DI34">
            <v>2.0796000000000001</v>
          </cell>
          <cell r="DJ34">
            <v>2.0348000000000002</v>
          </cell>
          <cell r="DK34">
            <v>1.99</v>
          </cell>
          <cell r="DL34">
            <v>1.9452</v>
          </cell>
          <cell r="DM34">
            <v>1.9004000000000001</v>
          </cell>
          <cell r="DN34">
            <v>1.8864999999999998</v>
          </cell>
          <cell r="DO34">
            <v>1.847</v>
          </cell>
          <cell r="DP34">
            <v>1.8074999999999999</v>
          </cell>
          <cell r="DQ34">
            <v>1.7679999999999998</v>
          </cell>
          <cell r="DR34">
            <v>1.7284999999999999</v>
          </cell>
          <cell r="DS34">
            <v>1.6889999999999998</v>
          </cell>
          <cell r="DT34">
            <v>1.6495</v>
          </cell>
          <cell r="DU34"/>
        </row>
        <row r="35">
          <cell r="BV35">
            <v>60</v>
          </cell>
          <cell r="BW35">
            <v>3.3150000000000004</v>
          </cell>
          <cell r="BX35">
            <v>3.3040000000000003</v>
          </cell>
          <cell r="BY35">
            <v>3.2930000000000001</v>
          </cell>
          <cell r="BZ35">
            <v>3.282</v>
          </cell>
          <cell r="CA35">
            <v>3.2710000000000004</v>
          </cell>
          <cell r="CB35">
            <v>3.2600000000000002</v>
          </cell>
          <cell r="CC35">
            <v>3.2490000000000001</v>
          </cell>
          <cell r="CD35">
            <v>3.2380000000000004</v>
          </cell>
          <cell r="CE35">
            <v>3.2270000000000003</v>
          </cell>
          <cell r="CF35">
            <v>3.2160000000000002</v>
          </cell>
          <cell r="CG35">
            <v>3.2050000000000001</v>
          </cell>
          <cell r="CH35">
            <v>3.1940000000000004</v>
          </cell>
          <cell r="CI35">
            <v>3.1830000000000003</v>
          </cell>
          <cell r="CJ35">
            <v>3.1720000000000002</v>
          </cell>
          <cell r="CK35">
            <v>3.1610000000000005</v>
          </cell>
          <cell r="CL35">
            <v>3.1500000000000004</v>
          </cell>
          <cell r="CM35">
            <v>3.1612500000000003</v>
          </cell>
          <cell r="CN35">
            <v>3.1075000000000004</v>
          </cell>
          <cell r="CO35">
            <v>3.0537500000000004</v>
          </cell>
          <cell r="CP35">
            <v>3</v>
          </cell>
          <cell r="CQ35">
            <v>2.94625</v>
          </cell>
          <cell r="CR35">
            <v>2.8925000000000001</v>
          </cell>
          <cell r="CS35">
            <v>2.8387500000000001</v>
          </cell>
          <cell r="CT35">
            <v>2.7850000000000001</v>
          </cell>
          <cell r="CU35">
            <v>2.7916049382716048</v>
          </cell>
          <cell r="CV35">
            <v>2.7343209876543209</v>
          </cell>
          <cell r="CW35">
            <v>2.6770370370370369</v>
          </cell>
          <cell r="CX35">
            <v>2.6197530864197534</v>
          </cell>
          <cell r="CY35">
            <v>2.5624691358024694</v>
          </cell>
          <cell r="CZ35">
            <v>2.5051851851851854</v>
          </cell>
          <cell r="DA35">
            <v>2.4479012345679014</v>
          </cell>
          <cell r="DB35">
            <v>2.3906172839506175</v>
          </cell>
          <cell r="DC35">
            <v>2.3333333333333335</v>
          </cell>
          <cell r="DD35">
            <v>2.3105555555555561</v>
          </cell>
          <cell r="DE35">
            <v>2.2516666666666669</v>
          </cell>
          <cell r="DF35">
            <v>2.1927777777777782</v>
          </cell>
          <cell r="DG35">
            <v>2.1338888888888889</v>
          </cell>
          <cell r="DH35">
            <v>2.0750000000000002</v>
          </cell>
          <cell r="DI35">
            <v>2.0581999999999998</v>
          </cell>
          <cell r="DJ35">
            <v>2.0133999999999999</v>
          </cell>
          <cell r="DK35">
            <v>1.9685999999999999</v>
          </cell>
          <cell r="DL35">
            <v>1.9238</v>
          </cell>
          <cell r="DM35">
            <v>1.879</v>
          </cell>
          <cell r="DN35">
            <v>1.8715000000000002</v>
          </cell>
          <cell r="DO35">
            <v>1.8320000000000001</v>
          </cell>
          <cell r="DP35">
            <v>1.7925</v>
          </cell>
          <cell r="DQ35">
            <v>1.7530000000000001</v>
          </cell>
          <cell r="DR35">
            <v>1.7135</v>
          </cell>
          <cell r="DS35">
            <v>1.6739999999999999</v>
          </cell>
          <cell r="DT35">
            <v>1.6345000000000001</v>
          </cell>
          <cell r="DU35"/>
        </row>
        <row r="36">
          <cell r="BV36">
            <v>61</v>
          </cell>
          <cell r="BW36">
            <v>3.2549999999999999</v>
          </cell>
          <cell r="BX36">
            <v>3.2439999999999998</v>
          </cell>
          <cell r="BY36">
            <v>3.2329999999999997</v>
          </cell>
          <cell r="BZ36">
            <v>3.2219999999999995</v>
          </cell>
          <cell r="CA36">
            <v>3.2109999999999999</v>
          </cell>
          <cell r="CB36">
            <v>3.1999999999999997</v>
          </cell>
          <cell r="CC36">
            <v>3.1889999999999996</v>
          </cell>
          <cell r="CD36">
            <v>3.1779999999999999</v>
          </cell>
          <cell r="CE36">
            <v>3.1669999999999998</v>
          </cell>
          <cell r="CF36">
            <v>3.1559999999999997</v>
          </cell>
          <cell r="CG36">
            <v>3.1449999999999996</v>
          </cell>
          <cell r="CH36">
            <v>3.1339999999999999</v>
          </cell>
          <cell r="CI36">
            <v>3.1229999999999998</v>
          </cell>
          <cell r="CJ36">
            <v>3.1119999999999997</v>
          </cell>
          <cell r="CK36">
            <v>3.101</v>
          </cell>
          <cell r="CL36">
            <v>3.09</v>
          </cell>
          <cell r="CM36">
            <v>3.1142500000000002</v>
          </cell>
          <cell r="CN36">
            <v>3.0605000000000002</v>
          </cell>
          <cell r="CO36">
            <v>3.0067500000000003</v>
          </cell>
          <cell r="CP36">
            <v>2.9530000000000003</v>
          </cell>
          <cell r="CQ36">
            <v>2.8992499999999999</v>
          </cell>
          <cell r="CR36">
            <v>2.8454999999999999</v>
          </cell>
          <cell r="CS36">
            <v>2.79175</v>
          </cell>
          <cell r="CT36">
            <v>2.738</v>
          </cell>
          <cell r="CU36">
            <v>2.7573827160493827</v>
          </cell>
          <cell r="CV36">
            <v>2.7000987654320987</v>
          </cell>
          <cell r="CW36">
            <v>2.6428148148148147</v>
          </cell>
          <cell r="CX36">
            <v>2.5855308641975308</v>
          </cell>
          <cell r="CY36">
            <v>2.5282469135802472</v>
          </cell>
          <cell r="CZ36">
            <v>2.4709629629629632</v>
          </cell>
          <cell r="DA36">
            <v>2.4136790123456793</v>
          </cell>
          <cell r="DB36">
            <v>2.3563950617283953</v>
          </cell>
          <cell r="DC36">
            <v>2.2991111111111113</v>
          </cell>
          <cell r="DD36">
            <v>2.283555555555556</v>
          </cell>
          <cell r="DE36">
            <v>2.2246666666666668</v>
          </cell>
          <cell r="DF36">
            <v>2.165777777777778</v>
          </cell>
          <cell r="DG36">
            <v>2.1068888888888888</v>
          </cell>
          <cell r="DH36">
            <v>2.048</v>
          </cell>
          <cell r="DI36">
            <v>2.0367999999999999</v>
          </cell>
          <cell r="DJ36">
            <v>1.992</v>
          </cell>
          <cell r="DK36">
            <v>1.9472</v>
          </cell>
          <cell r="DL36">
            <v>1.9024000000000001</v>
          </cell>
          <cell r="DM36">
            <v>1.8576000000000001</v>
          </cell>
          <cell r="DN36">
            <v>1.8565</v>
          </cell>
          <cell r="DO36">
            <v>1.8170000000000002</v>
          </cell>
          <cell r="DP36">
            <v>1.7775000000000001</v>
          </cell>
          <cell r="DQ36">
            <v>1.738</v>
          </cell>
          <cell r="DR36">
            <v>1.6985000000000001</v>
          </cell>
          <cell r="DS36">
            <v>1.659</v>
          </cell>
          <cell r="DT36">
            <v>1.6195000000000002</v>
          </cell>
          <cell r="DU36"/>
        </row>
        <row r="37">
          <cell r="BV37">
            <v>62</v>
          </cell>
          <cell r="BW37">
            <v>3.1950000000000003</v>
          </cell>
          <cell r="BX37">
            <v>3.1840000000000002</v>
          </cell>
          <cell r="BY37">
            <v>3.173</v>
          </cell>
          <cell r="BZ37">
            <v>3.1619999999999999</v>
          </cell>
          <cell r="CA37">
            <v>3.1510000000000002</v>
          </cell>
          <cell r="CB37">
            <v>3.14</v>
          </cell>
          <cell r="CC37">
            <v>3.129</v>
          </cell>
          <cell r="CD37">
            <v>3.1180000000000003</v>
          </cell>
          <cell r="CE37">
            <v>3.1070000000000002</v>
          </cell>
          <cell r="CF37">
            <v>3.0960000000000001</v>
          </cell>
          <cell r="CG37">
            <v>3.085</v>
          </cell>
          <cell r="CH37">
            <v>3.0740000000000003</v>
          </cell>
          <cell r="CI37">
            <v>3.0630000000000002</v>
          </cell>
          <cell r="CJ37">
            <v>3.052</v>
          </cell>
          <cell r="CK37">
            <v>3.0410000000000004</v>
          </cell>
          <cell r="CL37">
            <v>3.0300000000000002</v>
          </cell>
          <cell r="CM37">
            <v>3.06725</v>
          </cell>
          <cell r="CN37">
            <v>3.0135000000000001</v>
          </cell>
          <cell r="CO37">
            <v>2.9597500000000001</v>
          </cell>
          <cell r="CP37">
            <v>2.9059999999999997</v>
          </cell>
          <cell r="CQ37">
            <v>2.8522499999999997</v>
          </cell>
          <cell r="CR37">
            <v>2.7984999999999998</v>
          </cell>
          <cell r="CS37">
            <v>2.7447499999999998</v>
          </cell>
          <cell r="CT37">
            <v>2.6909999999999998</v>
          </cell>
          <cell r="CU37">
            <v>2.7231604938271605</v>
          </cell>
          <cell r="CV37">
            <v>2.6658765432098765</v>
          </cell>
          <cell r="CW37">
            <v>2.6085925925925926</v>
          </cell>
          <cell r="CX37">
            <v>2.551308641975309</v>
          </cell>
          <cell r="CY37">
            <v>2.4940246913580251</v>
          </cell>
          <cell r="CZ37">
            <v>2.4367407407407411</v>
          </cell>
          <cell r="DA37">
            <v>2.3794567901234571</v>
          </cell>
          <cell r="DB37">
            <v>2.3221728395061731</v>
          </cell>
          <cell r="DC37">
            <v>2.2648888888888892</v>
          </cell>
          <cell r="DD37">
            <v>2.2565555555555559</v>
          </cell>
          <cell r="DE37">
            <v>2.1976666666666667</v>
          </cell>
          <cell r="DF37">
            <v>2.1387777777777779</v>
          </cell>
          <cell r="DG37">
            <v>2.0798888888888887</v>
          </cell>
          <cell r="DH37">
            <v>2.0209999999999999</v>
          </cell>
          <cell r="DI37">
            <v>2.0154000000000001</v>
          </cell>
          <cell r="DJ37">
            <v>1.9706000000000001</v>
          </cell>
          <cell r="DK37">
            <v>1.9258</v>
          </cell>
          <cell r="DL37">
            <v>1.881</v>
          </cell>
          <cell r="DM37">
            <v>1.8362000000000001</v>
          </cell>
          <cell r="DN37">
            <v>1.8414999999999999</v>
          </cell>
          <cell r="DO37">
            <v>1.802</v>
          </cell>
          <cell r="DP37">
            <v>1.7625</v>
          </cell>
          <cell r="DQ37">
            <v>1.7229999999999999</v>
          </cell>
          <cell r="DR37">
            <v>1.6835</v>
          </cell>
          <cell r="DS37">
            <v>1.6439999999999999</v>
          </cell>
          <cell r="DT37">
            <v>1.6045</v>
          </cell>
          <cell r="DU37"/>
        </row>
        <row r="38">
          <cell r="BV38">
            <v>63</v>
          </cell>
          <cell r="BW38">
            <v>3.1349999999999998</v>
          </cell>
          <cell r="BX38">
            <v>3.1240000000000001</v>
          </cell>
          <cell r="BY38">
            <v>3.113</v>
          </cell>
          <cell r="BZ38">
            <v>3.1019999999999999</v>
          </cell>
          <cell r="CA38">
            <v>3.0910000000000002</v>
          </cell>
          <cell r="CB38">
            <v>3.08</v>
          </cell>
          <cell r="CC38">
            <v>3.069</v>
          </cell>
          <cell r="CD38">
            <v>3.0580000000000003</v>
          </cell>
          <cell r="CE38">
            <v>3.0470000000000002</v>
          </cell>
          <cell r="CF38">
            <v>3.036</v>
          </cell>
          <cell r="CG38">
            <v>3.0250000000000004</v>
          </cell>
          <cell r="CH38">
            <v>3.0140000000000002</v>
          </cell>
          <cell r="CI38">
            <v>3.0030000000000001</v>
          </cell>
          <cell r="CJ38">
            <v>2.992</v>
          </cell>
          <cell r="CK38">
            <v>2.9810000000000003</v>
          </cell>
          <cell r="CL38">
            <v>2.97</v>
          </cell>
          <cell r="CM38">
            <v>3.0202499999999999</v>
          </cell>
          <cell r="CN38">
            <v>2.9664999999999999</v>
          </cell>
          <cell r="CO38">
            <v>2.91275</v>
          </cell>
          <cell r="CP38">
            <v>2.859</v>
          </cell>
          <cell r="CQ38">
            <v>2.8052499999999996</v>
          </cell>
          <cell r="CR38">
            <v>2.7514999999999996</v>
          </cell>
          <cell r="CS38">
            <v>2.6977499999999996</v>
          </cell>
          <cell r="CT38">
            <v>2.6439999999999997</v>
          </cell>
          <cell r="CU38">
            <v>2.6889382716049379</v>
          </cell>
          <cell r="CV38">
            <v>2.6316543209876539</v>
          </cell>
          <cell r="CW38">
            <v>2.57437037037037</v>
          </cell>
          <cell r="CX38">
            <v>2.5170864197530864</v>
          </cell>
          <cell r="CY38">
            <v>2.4598024691358025</v>
          </cell>
          <cell r="CZ38">
            <v>2.4025185185185185</v>
          </cell>
          <cell r="DA38">
            <v>2.3452345679012345</v>
          </cell>
          <cell r="DB38">
            <v>2.2879506172839505</v>
          </cell>
          <cell r="DC38">
            <v>2.2306666666666666</v>
          </cell>
          <cell r="DD38">
            <v>2.2295555555555557</v>
          </cell>
          <cell r="DE38">
            <v>2.170666666666667</v>
          </cell>
          <cell r="DF38">
            <v>2.1117777777777778</v>
          </cell>
          <cell r="DG38">
            <v>2.052888888888889</v>
          </cell>
          <cell r="DH38">
            <v>1.994</v>
          </cell>
          <cell r="DI38">
            <v>1.994</v>
          </cell>
          <cell r="DJ38">
            <v>1.9491999999999998</v>
          </cell>
          <cell r="DK38">
            <v>1.9043999999999999</v>
          </cell>
          <cell r="DL38">
            <v>1.8595999999999999</v>
          </cell>
          <cell r="DM38">
            <v>1.8148</v>
          </cell>
          <cell r="DN38">
            <v>1.8265000000000002</v>
          </cell>
          <cell r="DO38">
            <v>1.7870000000000001</v>
          </cell>
          <cell r="DP38">
            <v>1.7475000000000001</v>
          </cell>
          <cell r="DQ38">
            <v>1.7080000000000002</v>
          </cell>
          <cell r="DR38">
            <v>1.6685000000000001</v>
          </cell>
          <cell r="DS38">
            <v>1.629</v>
          </cell>
          <cell r="DT38">
            <v>1.5895000000000001</v>
          </cell>
          <cell r="DU38"/>
        </row>
        <row r="39">
          <cell r="BV39">
            <v>64</v>
          </cell>
          <cell r="BW39">
            <v>3.0750000000000002</v>
          </cell>
          <cell r="BX39">
            <v>3.0640000000000001</v>
          </cell>
          <cell r="BY39">
            <v>3.0529999999999999</v>
          </cell>
          <cell r="BZ39">
            <v>3.0419999999999998</v>
          </cell>
          <cell r="CA39">
            <v>3.0310000000000001</v>
          </cell>
          <cell r="CB39">
            <v>3.02</v>
          </cell>
          <cell r="CC39">
            <v>3.0089999999999999</v>
          </cell>
          <cell r="CD39">
            <v>2.9980000000000002</v>
          </cell>
          <cell r="CE39">
            <v>2.9870000000000001</v>
          </cell>
          <cell r="CF39">
            <v>2.976</v>
          </cell>
          <cell r="CG39">
            <v>2.9649999999999999</v>
          </cell>
          <cell r="CH39">
            <v>2.9540000000000002</v>
          </cell>
          <cell r="CI39">
            <v>2.9430000000000001</v>
          </cell>
          <cell r="CJ39">
            <v>2.9319999999999999</v>
          </cell>
          <cell r="CK39">
            <v>2.9210000000000003</v>
          </cell>
          <cell r="CL39">
            <v>2.91</v>
          </cell>
          <cell r="CM39">
            <v>2.9732500000000002</v>
          </cell>
          <cell r="CN39">
            <v>2.9195000000000002</v>
          </cell>
          <cell r="CO39">
            <v>2.8657500000000002</v>
          </cell>
          <cell r="CP39">
            <v>2.8120000000000003</v>
          </cell>
          <cell r="CQ39">
            <v>2.7582499999999999</v>
          </cell>
          <cell r="CR39">
            <v>2.7044999999999999</v>
          </cell>
          <cell r="CS39">
            <v>2.6507499999999999</v>
          </cell>
          <cell r="CT39">
            <v>2.597</v>
          </cell>
          <cell r="CU39">
            <v>2.6547160493827158</v>
          </cell>
          <cell r="CV39">
            <v>2.5974320987654318</v>
          </cell>
          <cell r="CW39">
            <v>2.5401481481481478</v>
          </cell>
          <cell r="CX39">
            <v>2.4828641975308638</v>
          </cell>
          <cell r="CY39">
            <v>2.4255802469135803</v>
          </cell>
          <cell r="CZ39">
            <v>2.3682962962962963</v>
          </cell>
          <cell r="DA39">
            <v>2.3110123456790124</v>
          </cell>
          <cell r="DB39">
            <v>2.2537283950617284</v>
          </cell>
          <cell r="DC39">
            <v>2.1964444444444444</v>
          </cell>
          <cell r="DD39">
            <v>2.2025555555555556</v>
          </cell>
          <cell r="DE39">
            <v>2.1436666666666668</v>
          </cell>
          <cell r="DF39">
            <v>2.0847777777777776</v>
          </cell>
          <cell r="DG39">
            <v>2.0258888888888889</v>
          </cell>
          <cell r="DH39">
            <v>1.9669999999999999</v>
          </cell>
          <cell r="DI39">
            <v>1.9726000000000001</v>
          </cell>
          <cell r="DJ39">
            <v>1.9278</v>
          </cell>
          <cell r="DK39">
            <v>1.883</v>
          </cell>
          <cell r="DL39">
            <v>1.8382000000000001</v>
          </cell>
          <cell r="DM39">
            <v>1.7934000000000001</v>
          </cell>
          <cell r="DN39">
            <v>1.8115000000000001</v>
          </cell>
          <cell r="DO39">
            <v>1.772</v>
          </cell>
          <cell r="DP39">
            <v>1.7324999999999999</v>
          </cell>
          <cell r="DQ39">
            <v>1.6930000000000001</v>
          </cell>
          <cell r="DR39">
            <v>1.6535</v>
          </cell>
          <cell r="DS39">
            <v>1.6139999999999999</v>
          </cell>
          <cell r="DT39">
            <v>1.5745</v>
          </cell>
          <cell r="DU39"/>
        </row>
        <row r="40">
          <cell r="BV40">
            <v>65</v>
          </cell>
          <cell r="BW40">
            <v>3.3075000000000001</v>
          </cell>
          <cell r="BX40">
            <v>3.2770000000000001</v>
          </cell>
          <cell r="BY40">
            <v>3.2465000000000002</v>
          </cell>
          <cell r="BZ40">
            <v>3.2160000000000002</v>
          </cell>
          <cell r="CA40">
            <v>3.1855000000000002</v>
          </cell>
          <cell r="CB40">
            <v>3.1550000000000002</v>
          </cell>
          <cell r="CC40">
            <v>3.1244999999999998</v>
          </cell>
          <cell r="CD40">
            <v>3.0939999999999999</v>
          </cell>
          <cell r="CE40">
            <v>3.0634999999999999</v>
          </cell>
          <cell r="CF40">
            <v>3.0329999999999999</v>
          </cell>
          <cell r="CG40">
            <v>3.0024999999999999</v>
          </cell>
          <cell r="CH40">
            <v>2.972</v>
          </cell>
          <cell r="CI40">
            <v>2.9415</v>
          </cell>
          <cell r="CJ40">
            <v>2.911</v>
          </cell>
          <cell r="CK40">
            <v>2.8805000000000001</v>
          </cell>
          <cell r="CL40">
            <v>2.85</v>
          </cell>
          <cell r="CM40">
            <v>2.8125</v>
          </cell>
          <cell r="CN40">
            <v>2.7749999999999999</v>
          </cell>
          <cell r="CO40">
            <v>2.7374999999999998</v>
          </cell>
          <cell r="CP40">
            <v>2.7</v>
          </cell>
          <cell r="CQ40">
            <v>2.6625000000000001</v>
          </cell>
          <cell r="CR40">
            <v>2.625</v>
          </cell>
          <cell r="CS40">
            <v>2.5874999999999999</v>
          </cell>
          <cell r="CT40">
            <v>2.5499999999999998</v>
          </cell>
          <cell r="CU40">
            <v>2.5069135802469136</v>
          </cell>
          <cell r="CV40">
            <v>2.4638271604938269</v>
          </cell>
          <cell r="CW40">
            <v>2.4207407407407406</v>
          </cell>
          <cell r="CX40">
            <v>2.3776543209876544</v>
          </cell>
          <cell r="CY40">
            <v>2.3345679012345677</v>
          </cell>
          <cell r="CZ40">
            <v>2.2914814814814815</v>
          </cell>
          <cell r="DA40">
            <v>2.2483950617283952</v>
          </cell>
          <cell r="DB40">
            <v>2.2053086419753085</v>
          </cell>
          <cell r="DC40">
            <v>2.1622222222222223</v>
          </cell>
          <cell r="DD40">
            <v>2.117777777777778</v>
          </cell>
          <cell r="DE40">
            <v>2.0733333333333333</v>
          </cell>
          <cell r="DF40">
            <v>2.028888888888889</v>
          </cell>
          <cell r="DG40">
            <v>1.9844444444444445</v>
          </cell>
          <cell r="DH40">
            <v>1.94</v>
          </cell>
          <cell r="DI40">
            <v>1.9063999999999999</v>
          </cell>
          <cell r="DJ40">
            <v>1.8728</v>
          </cell>
          <cell r="DK40">
            <v>1.8391999999999999</v>
          </cell>
          <cell r="DL40">
            <v>1.8056000000000001</v>
          </cell>
          <cell r="DM40">
            <v>1.772</v>
          </cell>
          <cell r="DN40">
            <v>1.7404999999999999</v>
          </cell>
          <cell r="DO40">
            <v>1.7090000000000001</v>
          </cell>
          <cell r="DP40">
            <v>1.6775</v>
          </cell>
          <cell r="DQ40">
            <v>1.6459999999999999</v>
          </cell>
          <cell r="DR40">
            <v>1.6145</v>
          </cell>
          <cell r="DS40">
            <v>1.583</v>
          </cell>
          <cell r="DT40">
            <v>1.5515000000000001</v>
          </cell>
          <cell r="DU40"/>
        </row>
        <row r="41">
          <cell r="BV41">
            <v>66</v>
          </cell>
          <cell r="BW41">
            <v>3.0225</v>
          </cell>
          <cell r="BX41">
            <v>2.992</v>
          </cell>
          <cell r="BY41">
            <v>2.9615</v>
          </cell>
          <cell r="BZ41">
            <v>2.931</v>
          </cell>
          <cell r="CA41">
            <v>2.9005000000000001</v>
          </cell>
          <cell r="CB41">
            <v>2.87</v>
          </cell>
          <cell r="CC41">
            <v>2.8394999999999997</v>
          </cell>
          <cell r="CD41">
            <v>2.8089999999999997</v>
          </cell>
          <cell r="CE41">
            <v>2.7784999999999997</v>
          </cell>
          <cell r="CF41">
            <v>2.7479999999999998</v>
          </cell>
          <cell r="CG41">
            <v>2.7174999999999998</v>
          </cell>
          <cell r="CH41">
            <v>2.6869999999999998</v>
          </cell>
          <cell r="CI41">
            <v>2.6564999999999999</v>
          </cell>
          <cell r="CJ41">
            <v>2.6259999999999999</v>
          </cell>
          <cell r="CK41">
            <v>2.5954999999999999</v>
          </cell>
          <cell r="CL41">
            <v>2.5649999999999999</v>
          </cell>
          <cell r="CM41">
            <v>2.5575000000000001</v>
          </cell>
          <cell r="CN41">
            <v>2.52</v>
          </cell>
          <cell r="CO41">
            <v>2.4824999999999999</v>
          </cell>
          <cell r="CP41">
            <v>2.4450000000000003</v>
          </cell>
          <cell r="CQ41">
            <v>2.4075000000000002</v>
          </cell>
          <cell r="CR41">
            <v>2.37</v>
          </cell>
          <cell r="CS41">
            <v>2.3325</v>
          </cell>
          <cell r="CT41">
            <v>2.2949999999999999</v>
          </cell>
          <cell r="CU41">
            <v>2.290691358024691</v>
          </cell>
          <cell r="CV41">
            <v>2.2476049382716048</v>
          </cell>
          <cell r="CW41">
            <v>2.2045185185185181</v>
          </cell>
          <cell r="CX41">
            <v>2.1614320987654319</v>
          </cell>
          <cell r="CY41">
            <v>2.1183456790123456</v>
          </cell>
          <cell r="CZ41">
            <v>2.0752592592592594</v>
          </cell>
          <cell r="DA41">
            <v>2.0321728395061727</v>
          </cell>
          <cell r="DB41">
            <v>1.9890864197530864</v>
          </cell>
          <cell r="DC41">
            <v>1.946</v>
          </cell>
          <cell r="DD41">
            <v>1.9237777777777778</v>
          </cell>
          <cell r="DE41">
            <v>1.8793333333333333</v>
          </cell>
          <cell r="DF41">
            <v>1.834888888888889</v>
          </cell>
          <cell r="DG41">
            <v>1.7904444444444445</v>
          </cell>
          <cell r="DH41">
            <v>1.746</v>
          </cell>
          <cell r="DI41">
            <v>1.7291999999999998</v>
          </cell>
          <cell r="DJ41">
            <v>1.6956</v>
          </cell>
          <cell r="DK41">
            <v>1.6619999999999999</v>
          </cell>
          <cell r="DL41">
            <v>1.6284000000000001</v>
          </cell>
          <cell r="DM41">
            <v>1.5948</v>
          </cell>
          <cell r="DN41">
            <v>1.5885</v>
          </cell>
          <cell r="DO41">
            <v>1.5570000000000002</v>
          </cell>
          <cell r="DP41">
            <v>1.5255000000000001</v>
          </cell>
          <cell r="DQ41">
            <v>1.4940000000000002</v>
          </cell>
          <cell r="DR41">
            <v>1.4625000000000001</v>
          </cell>
          <cell r="DS41">
            <v>1.431</v>
          </cell>
          <cell r="DT41">
            <v>1.3995000000000002</v>
          </cell>
          <cell r="DU41"/>
        </row>
        <row r="42">
          <cell r="BV42">
            <v>67</v>
          </cell>
          <cell r="BW42">
            <v>2.7375000000000003</v>
          </cell>
          <cell r="BX42">
            <v>2.7070000000000003</v>
          </cell>
          <cell r="BY42">
            <v>2.6765000000000003</v>
          </cell>
          <cell r="BZ42">
            <v>2.6459999999999999</v>
          </cell>
          <cell r="CA42">
            <v>2.6154999999999999</v>
          </cell>
          <cell r="CB42">
            <v>2.585</v>
          </cell>
          <cell r="CC42">
            <v>2.5545</v>
          </cell>
          <cell r="CD42">
            <v>2.524</v>
          </cell>
          <cell r="CE42">
            <v>2.4935</v>
          </cell>
          <cell r="CF42">
            <v>2.4630000000000001</v>
          </cell>
          <cell r="CG42">
            <v>2.4325000000000001</v>
          </cell>
          <cell r="CH42">
            <v>2.4020000000000001</v>
          </cell>
          <cell r="CI42">
            <v>2.3715000000000002</v>
          </cell>
          <cell r="CJ42">
            <v>2.3410000000000002</v>
          </cell>
          <cell r="CK42">
            <v>2.3105000000000002</v>
          </cell>
          <cell r="CL42">
            <v>2.2800000000000002</v>
          </cell>
          <cell r="CM42">
            <v>2.3025000000000002</v>
          </cell>
          <cell r="CN42">
            <v>2.2650000000000001</v>
          </cell>
          <cell r="CO42">
            <v>2.2275</v>
          </cell>
          <cell r="CP42">
            <v>2.1900000000000004</v>
          </cell>
          <cell r="CQ42">
            <v>2.1525000000000003</v>
          </cell>
          <cell r="CR42">
            <v>2.1150000000000002</v>
          </cell>
          <cell r="CS42">
            <v>2.0775000000000001</v>
          </cell>
          <cell r="CT42">
            <v>2.04</v>
          </cell>
          <cell r="CU42">
            <v>2.0744691358024689</v>
          </cell>
          <cell r="CV42">
            <v>2.0313827160493827</v>
          </cell>
          <cell r="CW42">
            <v>1.9882962962962962</v>
          </cell>
          <cell r="CX42">
            <v>1.9452098765432098</v>
          </cell>
          <cell r="CY42">
            <v>1.9021234567901235</v>
          </cell>
          <cell r="CZ42">
            <v>1.859037037037037</v>
          </cell>
          <cell r="DA42">
            <v>1.8159506172839506</v>
          </cell>
          <cell r="DB42">
            <v>1.7728641975308643</v>
          </cell>
          <cell r="DC42">
            <v>1.7297777777777779</v>
          </cell>
          <cell r="DD42">
            <v>1.7297777777777779</v>
          </cell>
          <cell r="DE42">
            <v>1.6853333333333333</v>
          </cell>
          <cell r="DF42">
            <v>1.6408888888888891</v>
          </cell>
          <cell r="DG42">
            <v>1.5964444444444446</v>
          </cell>
          <cell r="DH42">
            <v>1.552</v>
          </cell>
          <cell r="DI42">
            <v>1.5519999999999998</v>
          </cell>
          <cell r="DJ42">
            <v>1.5184</v>
          </cell>
          <cell r="DK42">
            <v>1.4847999999999999</v>
          </cell>
          <cell r="DL42">
            <v>1.4512</v>
          </cell>
          <cell r="DM42">
            <v>1.4176</v>
          </cell>
          <cell r="DN42">
            <v>1.4364999999999999</v>
          </cell>
          <cell r="DO42">
            <v>1.405</v>
          </cell>
          <cell r="DP42">
            <v>1.3734999999999999</v>
          </cell>
          <cell r="DQ42">
            <v>1.3420000000000001</v>
          </cell>
          <cell r="DR42">
            <v>1.3105</v>
          </cell>
          <cell r="DS42">
            <v>1.2789999999999999</v>
          </cell>
          <cell r="DT42">
            <v>1.2475000000000001</v>
          </cell>
          <cell r="DU42"/>
        </row>
        <row r="43">
          <cell r="BV43">
            <v>68</v>
          </cell>
          <cell r="BW43">
            <v>2.4525000000000001</v>
          </cell>
          <cell r="BX43">
            <v>2.4220000000000002</v>
          </cell>
          <cell r="BY43">
            <v>2.3915000000000002</v>
          </cell>
          <cell r="BZ43">
            <v>2.3609999999999998</v>
          </cell>
          <cell r="CA43">
            <v>2.3304999999999998</v>
          </cell>
          <cell r="CB43">
            <v>2.2999999999999998</v>
          </cell>
          <cell r="CC43">
            <v>2.2694999999999999</v>
          </cell>
          <cell r="CD43">
            <v>2.2389999999999999</v>
          </cell>
          <cell r="CE43">
            <v>2.2084999999999999</v>
          </cell>
          <cell r="CF43">
            <v>2.1779999999999999</v>
          </cell>
          <cell r="CG43">
            <v>2.1475</v>
          </cell>
          <cell r="CH43">
            <v>2.117</v>
          </cell>
          <cell r="CI43">
            <v>2.0865</v>
          </cell>
          <cell r="CJ43">
            <v>2.056</v>
          </cell>
          <cell r="CK43">
            <v>2.0255000000000001</v>
          </cell>
          <cell r="CL43">
            <v>1.9950000000000001</v>
          </cell>
          <cell r="CM43">
            <v>2.0474999999999999</v>
          </cell>
          <cell r="CN43">
            <v>2.0099999999999998</v>
          </cell>
          <cell r="CO43">
            <v>1.9724999999999999</v>
          </cell>
          <cell r="CP43">
            <v>1.9349999999999998</v>
          </cell>
          <cell r="CQ43">
            <v>1.8974999999999997</v>
          </cell>
          <cell r="CR43">
            <v>1.8599999999999999</v>
          </cell>
          <cell r="CS43">
            <v>1.8224999999999998</v>
          </cell>
          <cell r="CT43">
            <v>1.7849999999999997</v>
          </cell>
          <cell r="CU43">
            <v>1.8582469135802466</v>
          </cell>
          <cell r="CV43">
            <v>1.8151604938271602</v>
          </cell>
          <cell r="CW43">
            <v>1.7720740740740739</v>
          </cell>
          <cell r="CX43">
            <v>1.7289876543209874</v>
          </cell>
          <cell r="CY43">
            <v>1.6859012345679012</v>
          </cell>
          <cell r="CZ43">
            <v>1.6428148148148147</v>
          </cell>
          <cell r="DA43">
            <v>1.5997283950617283</v>
          </cell>
          <cell r="DB43">
            <v>1.556641975308642</v>
          </cell>
          <cell r="DC43">
            <v>1.5135555555555555</v>
          </cell>
          <cell r="DD43">
            <v>1.5357777777777777</v>
          </cell>
          <cell r="DE43">
            <v>1.4913333333333334</v>
          </cell>
          <cell r="DF43">
            <v>1.4468888888888889</v>
          </cell>
          <cell r="DG43">
            <v>1.4024444444444444</v>
          </cell>
          <cell r="DH43">
            <v>1.3579999999999999</v>
          </cell>
          <cell r="DI43">
            <v>1.3748</v>
          </cell>
          <cell r="DJ43">
            <v>1.3412000000000002</v>
          </cell>
          <cell r="DK43">
            <v>1.3076000000000001</v>
          </cell>
          <cell r="DL43">
            <v>1.2740000000000002</v>
          </cell>
          <cell r="DM43">
            <v>1.2404000000000002</v>
          </cell>
          <cell r="DN43">
            <v>1.2845</v>
          </cell>
          <cell r="DO43">
            <v>1.2530000000000001</v>
          </cell>
          <cell r="DP43">
            <v>1.2215</v>
          </cell>
          <cell r="DQ43">
            <v>1.19</v>
          </cell>
          <cell r="DR43">
            <v>1.1585000000000001</v>
          </cell>
          <cell r="DS43">
            <v>1.127</v>
          </cell>
          <cell r="DT43">
            <v>1.0955000000000001</v>
          </cell>
          <cell r="DU43"/>
        </row>
        <row r="44">
          <cell r="BV44">
            <v>69</v>
          </cell>
          <cell r="BW44">
            <v>2.1675</v>
          </cell>
          <cell r="BX44">
            <v>2.137</v>
          </cell>
          <cell r="BY44">
            <v>2.1065</v>
          </cell>
          <cell r="BZ44">
            <v>2.0759999999999996</v>
          </cell>
          <cell r="CA44">
            <v>2.0454999999999997</v>
          </cell>
          <cell r="CB44">
            <v>2.0149999999999997</v>
          </cell>
          <cell r="CC44">
            <v>1.9844999999999999</v>
          </cell>
          <cell r="CD44">
            <v>1.954</v>
          </cell>
          <cell r="CE44">
            <v>1.9235</v>
          </cell>
          <cell r="CF44">
            <v>1.8929999999999998</v>
          </cell>
          <cell r="CG44">
            <v>1.8624999999999998</v>
          </cell>
          <cell r="CH44">
            <v>1.8319999999999999</v>
          </cell>
          <cell r="CI44">
            <v>1.8014999999999999</v>
          </cell>
          <cell r="CJ44">
            <v>1.7709999999999999</v>
          </cell>
          <cell r="CK44">
            <v>1.7404999999999999</v>
          </cell>
          <cell r="CL44">
            <v>1.71</v>
          </cell>
          <cell r="CM44">
            <v>1.7925</v>
          </cell>
          <cell r="CN44">
            <v>1.7549999999999999</v>
          </cell>
          <cell r="CO44">
            <v>1.7175</v>
          </cell>
          <cell r="CP44">
            <v>1.68</v>
          </cell>
          <cell r="CQ44">
            <v>1.6424999999999998</v>
          </cell>
          <cell r="CR44">
            <v>1.605</v>
          </cell>
          <cell r="CS44">
            <v>1.5674999999999999</v>
          </cell>
          <cell r="CT44">
            <v>1.5299999999999998</v>
          </cell>
          <cell r="CU44">
            <v>1.6420246913580245</v>
          </cell>
          <cell r="CV44">
            <v>1.5989382716049381</v>
          </cell>
          <cell r="CW44">
            <v>1.5558518518518518</v>
          </cell>
          <cell r="CX44">
            <v>1.5127654320987654</v>
          </cell>
          <cell r="CY44">
            <v>1.4696790123456791</v>
          </cell>
          <cell r="CZ44">
            <v>1.4265925925925926</v>
          </cell>
          <cell r="DA44">
            <v>1.3835061728395062</v>
          </cell>
          <cell r="DB44">
            <v>1.3404197530864199</v>
          </cell>
          <cell r="DC44">
            <v>1.2973333333333334</v>
          </cell>
          <cell r="DD44">
            <v>1.3417777777777777</v>
          </cell>
          <cell r="DE44">
            <v>1.2973333333333334</v>
          </cell>
          <cell r="DF44">
            <v>1.2528888888888889</v>
          </cell>
          <cell r="DG44">
            <v>1.2084444444444444</v>
          </cell>
          <cell r="DH44">
            <v>1.1639999999999999</v>
          </cell>
          <cell r="DI44">
            <v>1.1976</v>
          </cell>
          <cell r="DJ44">
            <v>1.1640000000000001</v>
          </cell>
          <cell r="DK44">
            <v>1.1304000000000001</v>
          </cell>
          <cell r="DL44">
            <v>1.0968000000000002</v>
          </cell>
          <cell r="DM44">
            <v>1.0632000000000001</v>
          </cell>
          <cell r="DN44">
            <v>1.1325000000000001</v>
          </cell>
          <cell r="DO44">
            <v>1.101</v>
          </cell>
          <cell r="DP44">
            <v>1.0695000000000001</v>
          </cell>
          <cell r="DQ44">
            <v>1.038</v>
          </cell>
          <cell r="DR44">
            <v>1.0065</v>
          </cell>
          <cell r="DS44">
            <v>0.97500000000000009</v>
          </cell>
          <cell r="DT44">
            <v>0.94350000000000001</v>
          </cell>
          <cell r="DU44"/>
        </row>
        <row r="45">
          <cell r="BV45">
            <v>70</v>
          </cell>
          <cell r="BW45">
            <v>1.8824999999999998</v>
          </cell>
          <cell r="BX45">
            <v>1.8519999999999996</v>
          </cell>
          <cell r="BY45">
            <v>1.8214999999999997</v>
          </cell>
          <cell r="BZ45">
            <v>1.7909999999999997</v>
          </cell>
          <cell r="CA45">
            <v>1.7604999999999997</v>
          </cell>
          <cell r="CB45">
            <v>1.7299999999999998</v>
          </cell>
          <cell r="CC45">
            <v>1.6994999999999998</v>
          </cell>
          <cell r="CD45">
            <v>1.6689999999999998</v>
          </cell>
          <cell r="CE45">
            <v>1.6384999999999998</v>
          </cell>
          <cell r="CF45">
            <v>1.6079999999999997</v>
          </cell>
          <cell r="CG45">
            <v>1.5774999999999997</v>
          </cell>
          <cell r="CH45">
            <v>1.5469999999999997</v>
          </cell>
          <cell r="CI45">
            <v>1.5164999999999997</v>
          </cell>
          <cell r="CJ45">
            <v>1.4859999999999998</v>
          </cell>
          <cell r="CK45">
            <v>1.4554999999999998</v>
          </cell>
          <cell r="CL45">
            <v>1.4249999999999998</v>
          </cell>
          <cell r="CM45">
            <v>1.5375000000000001</v>
          </cell>
          <cell r="CN45">
            <v>1.5</v>
          </cell>
          <cell r="CO45">
            <v>1.4625000000000001</v>
          </cell>
          <cell r="CP45">
            <v>1.425</v>
          </cell>
          <cell r="CQ45">
            <v>1.3875</v>
          </cell>
          <cell r="CR45">
            <v>1.35</v>
          </cell>
          <cell r="CS45">
            <v>1.3125</v>
          </cell>
          <cell r="CT45">
            <v>1.2749999999999999</v>
          </cell>
          <cell r="CU45">
            <v>1.4258024691358022</v>
          </cell>
          <cell r="CV45">
            <v>1.382716049382716</v>
          </cell>
          <cell r="CW45">
            <v>1.3396296296296295</v>
          </cell>
          <cell r="CX45">
            <v>1.296543209876543</v>
          </cell>
          <cell r="CY45">
            <v>1.2534567901234568</v>
          </cell>
          <cell r="CZ45">
            <v>1.2103703703703703</v>
          </cell>
          <cell r="DA45">
            <v>1.1672839506172838</v>
          </cell>
          <cell r="DB45">
            <v>1.1241975308641976</v>
          </cell>
          <cell r="DC45">
            <v>1.0811111111111111</v>
          </cell>
          <cell r="DD45">
            <v>1.1477777777777778</v>
          </cell>
          <cell r="DE45">
            <v>1.1033333333333335</v>
          </cell>
          <cell r="DF45">
            <v>1.058888888888889</v>
          </cell>
          <cell r="DG45">
            <v>1.0144444444444445</v>
          </cell>
          <cell r="DH45">
            <v>0.97</v>
          </cell>
          <cell r="DI45">
            <v>1.0204</v>
          </cell>
          <cell r="DJ45">
            <v>0.9867999999999999</v>
          </cell>
          <cell r="DK45">
            <v>0.95319999999999994</v>
          </cell>
          <cell r="DL45">
            <v>0.91959999999999997</v>
          </cell>
          <cell r="DM45">
            <v>0.88600000000000001</v>
          </cell>
          <cell r="DN45">
            <v>0.98050000000000004</v>
          </cell>
          <cell r="DO45">
            <v>0.94900000000000007</v>
          </cell>
          <cell r="DP45">
            <v>0.91749999999999998</v>
          </cell>
          <cell r="DQ45">
            <v>0.88600000000000001</v>
          </cell>
          <cell r="DR45">
            <v>0.85450000000000004</v>
          </cell>
          <cell r="DS45">
            <v>0.82299999999999995</v>
          </cell>
          <cell r="DT45">
            <v>0.79149999999999998</v>
          </cell>
          <cell r="DU45"/>
        </row>
        <row r="46">
          <cell r="BV46" t="str">
            <v>Fremløb [°C]</v>
          </cell>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cell r="DO46"/>
          <cell r="DP46"/>
          <cell r="DQ46"/>
          <cell r="DR46"/>
          <cell r="DS46"/>
          <cell r="DT46"/>
          <cell r="DU46"/>
        </row>
      </sheetData>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data"/>
      <sheetName val="BREDBÅND Hoved- og nøgletal"/>
      <sheetName val="Hoved- og nøgletal (udskr)"/>
      <sheetName val="Resultatopg"/>
      <sheetName val="Aktiver"/>
      <sheetName val="Passiver"/>
      <sheetName val="Egenkapitalopg."/>
      <sheetName val="Egenkapitalopg. (udskr)"/>
      <sheetName val="Pengestrømsopg."/>
      <sheetName val="Noter 1-4"/>
      <sheetName val="Noter 5-6"/>
      <sheetName val="Note 7"/>
      <sheetName val="Noter 8-9"/>
      <sheetName val="Noter 10"/>
      <sheetName val="Noter 11-14"/>
      <sheetName val="Noter 15-18"/>
      <sheetName val="Spec"/>
      <sheetName val="Fin_Kti"/>
      <sheetName val="Fin_Rap"/>
      <sheetName val="Fin_KtiLøn"/>
      <sheetName val="Fin_RapLøn"/>
      <sheetName val="Kontrol"/>
    </sheetNames>
    <sheetDataSet>
      <sheetData sheetId="0">
        <row r="8">
          <cell r="B8" t="str">
            <v>Revisionspåtegning</v>
          </cell>
        </row>
        <row r="13">
          <cell r="B13">
            <v>41275</v>
          </cell>
        </row>
        <row r="15">
          <cell r="B15">
            <v>40909</v>
          </cell>
        </row>
        <row r="16">
          <cell r="B16">
            <v>41274</v>
          </cell>
        </row>
        <row r="18">
          <cell r="B18">
            <v>41306</v>
          </cell>
        </row>
        <row r="33">
          <cell r="B33" t="str">
            <v>33963556</v>
          </cell>
        </row>
        <row r="34">
          <cell r="B34">
            <v>0</v>
          </cell>
        </row>
        <row r="35">
          <cell r="B35" t="str">
            <v>Deloitte</v>
          </cell>
        </row>
        <row r="36">
          <cell r="B36" t="str">
            <v>Egtved Alle</v>
          </cell>
        </row>
        <row r="37">
          <cell r="B37" t="str">
            <v>4</v>
          </cell>
        </row>
        <row r="39">
          <cell r="B39" t="str">
            <v>6000</v>
          </cell>
        </row>
        <row r="40">
          <cell r="B40" t="str">
            <v>Kolding</v>
          </cell>
        </row>
        <row r="42">
          <cell r="B42" t="str">
            <v>Danmark</v>
          </cell>
        </row>
        <row r="43">
          <cell r="B43" t="str">
            <v>DK</v>
          </cell>
        </row>
        <row r="44">
          <cell r="B44">
            <v>0</v>
          </cell>
        </row>
        <row r="45">
          <cell r="B45">
            <v>0</v>
          </cell>
        </row>
        <row r="48">
          <cell r="B48" t="str">
            <v>Lone M. Hansen</v>
          </cell>
        </row>
        <row r="54">
          <cell r="B54" t="str">
            <v>Egtved Alle</v>
          </cell>
        </row>
        <row r="55">
          <cell r="B55" t="str">
            <v>4</v>
          </cell>
        </row>
        <row r="57">
          <cell r="B57" t="str">
            <v>6000</v>
          </cell>
        </row>
        <row r="58">
          <cell r="B58" t="str">
            <v>Kolding</v>
          </cell>
        </row>
        <row r="89">
          <cell r="B89">
            <v>0</v>
          </cell>
        </row>
        <row r="90">
          <cell r="B90">
            <v>0</v>
          </cell>
        </row>
        <row r="92">
          <cell r="B92">
            <v>0</v>
          </cell>
        </row>
        <row r="93">
          <cell r="B93">
            <v>0</v>
          </cell>
        </row>
        <row r="102">
          <cell r="B102">
            <v>0</v>
          </cell>
        </row>
        <row r="103">
          <cell r="B103">
            <v>0</v>
          </cell>
        </row>
        <row r="105">
          <cell r="B105">
            <v>0</v>
          </cell>
        </row>
        <row r="106">
          <cell r="B106">
            <v>0</v>
          </cell>
        </row>
        <row r="112">
          <cell r="B112" t="str">
            <v>Regnskabsklasse C / mellemstor virksomhed</v>
          </cell>
        </row>
        <row r="118">
          <cell r="B118" t="str">
            <v>Kokbjerg</v>
          </cell>
        </row>
        <row r="119">
          <cell r="B119" t="str">
            <v>30</v>
          </cell>
        </row>
        <row r="121">
          <cell r="B121" t="str">
            <v>6000</v>
          </cell>
        </row>
        <row r="122">
          <cell r="B122" t="str">
            <v>Kolding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Visio_Drawing1.vsdx"/><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comments" Target="../comments1.xml"/><Relationship Id="rId2" Type="http://schemas.openxmlformats.org/officeDocument/2006/relationships/hyperlink" Target="http://www.danskfjernvarme.dk/-/media/danskfjernvarme/gronenergi/analyser/17012018-fjernvarmens-konkurrenceforhold-overfor-indviduel-opvarmningv2.pdf" TargetMode="External"/><Relationship Id="rId1" Type="http://schemas.openxmlformats.org/officeDocument/2006/relationships/hyperlink" Target="https://ens.dk/ansvarsomraader/energibesparelser/energiselskabernes-energispareindsats/bibliotek" TargetMode="External"/><Relationship Id="rId6" Type="http://schemas.openxmlformats.org/officeDocument/2006/relationships/package" Target="../embeddings/Microsoft_Visio_Drawing.vsdx"/><Relationship Id="rId11" Type="http://schemas.openxmlformats.org/officeDocument/2006/relationships/image" Target="../media/image3.emf"/><Relationship Id="rId5" Type="http://schemas.openxmlformats.org/officeDocument/2006/relationships/vmlDrawing" Target="../drawings/vmlDrawing1.vml"/><Relationship Id="rId10" Type="http://schemas.openxmlformats.org/officeDocument/2006/relationships/package" Target="../embeddings/Microsoft_Visio_Drawing2.vsdx"/><Relationship Id="rId4" Type="http://schemas.openxmlformats.org/officeDocument/2006/relationships/drawing" Target="../drawings/drawing2.xml"/><Relationship Id="rId9" Type="http://schemas.openxmlformats.org/officeDocument/2006/relationships/image" Target="../media/image2.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hyperlink" Target="https://ens.dk/service/fremskrivninger-analyser-modeller/teknologikataloger"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fm.dk/publikationer/2017/vejledning-i-samfundsoekonomiske-konsekvensvurderinger" TargetMode="External"/><Relationship Id="rId2" Type="http://schemas.openxmlformats.org/officeDocument/2006/relationships/hyperlink" Target="https://ens.dk/sites/ens.dk/files/Analyser/samfundsoekonomiske_beregningsforudsaetninger_2017_ver_2.pdf" TargetMode="External"/><Relationship Id="rId1" Type="http://schemas.openxmlformats.org/officeDocument/2006/relationships/hyperlink" Target="https://ens.dk/sites/ens.dk/files/Analyser/technology_data_catalogue_for_el_and_dh_-_0001.pdf" TargetMode="External"/><Relationship Id="rId6" Type="http://schemas.openxmlformats.org/officeDocument/2006/relationships/drawing" Target="../drawings/drawing4.xml"/><Relationship Id="rId5" Type="http://schemas.openxmlformats.org/officeDocument/2006/relationships/printerSettings" Target="../printerSettings/printerSettings2.bin"/><Relationship Id="rId4" Type="http://schemas.openxmlformats.org/officeDocument/2006/relationships/hyperlink" Target="https://www.veks.dk/da/service/samfundsoekonom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CCAAD-F39A-43F9-A6F2-7D2AAE99B55B}">
  <dimension ref="A1"/>
  <sheetViews>
    <sheetView showGridLines="0" tabSelected="1" workbookViewId="0">
      <selection activeCell="J19" sqref="J19"/>
    </sheetView>
  </sheetViews>
  <sheetFormatPr defaultRowHeight="15" x14ac:dyDescent="0.25"/>
  <sheetData/>
  <sheetProtection algorithmName="SHA-512" hashValue="oPjUkIgIGwsjNbdUKMs/d9fzM7D/VUBjnUyYB0pN/2h5buiFDE8Zzs0pLg65gMnso58+RPaBqheuiaUESPZqZw==" saltValue="ebSmnjTcg7m6JMdHynUkQ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EE7BE-E6CE-4804-B76B-47CD72192D8E}">
  <dimension ref="A1:AQ109"/>
  <sheetViews>
    <sheetView zoomScaleNormal="100" workbookViewId="0">
      <selection activeCell="D26" sqref="D26"/>
    </sheetView>
  </sheetViews>
  <sheetFormatPr defaultRowHeight="15" outlineLevelRow="1" x14ac:dyDescent="0.25"/>
  <cols>
    <col min="1" max="1" width="84.42578125" customWidth="1"/>
    <col min="2" max="2" width="15.7109375" customWidth="1"/>
    <col min="3" max="3" width="19.5703125" bestFit="1" customWidth="1"/>
    <col min="4" max="4" width="21.140625" customWidth="1"/>
    <col min="5" max="5" width="13.5703125" bestFit="1" customWidth="1"/>
    <col min="6" max="6" width="16.85546875" customWidth="1"/>
    <col min="7" max="7" width="2.28515625" customWidth="1"/>
    <col min="8" max="8" width="76.42578125" customWidth="1"/>
    <col min="9" max="9" width="17.85546875" bestFit="1" customWidth="1"/>
    <col min="10" max="10" width="19.140625" customWidth="1"/>
    <col min="11" max="12" width="11.7109375" customWidth="1"/>
    <col min="13" max="15" width="12.42578125" customWidth="1"/>
    <col min="33" max="33" width="10.7109375" customWidth="1"/>
    <col min="34" max="34" width="10.85546875" customWidth="1"/>
    <col min="35" max="35" width="14.85546875" customWidth="1"/>
    <col min="42" max="42" width="31.85546875" bestFit="1" customWidth="1"/>
    <col min="43" max="43" width="12.5703125" bestFit="1" customWidth="1"/>
  </cols>
  <sheetData>
    <row r="1" spans="1:43" ht="24" thickBot="1" x14ac:dyDescent="0.4">
      <c r="A1" s="1" t="s">
        <v>0</v>
      </c>
      <c r="B1" s="144"/>
      <c r="C1" s="2"/>
      <c r="D1" s="3"/>
    </row>
    <row r="2" spans="1:43" x14ac:dyDescent="0.25">
      <c r="A2" t="s">
        <v>1</v>
      </c>
    </row>
    <row r="3" spans="1:43" x14ac:dyDescent="0.25">
      <c r="B3" t="s">
        <v>291</v>
      </c>
      <c r="C3" t="s">
        <v>293</v>
      </c>
    </row>
    <row r="4" spans="1:43" x14ac:dyDescent="0.25">
      <c r="A4" s="5" t="s">
        <v>211</v>
      </c>
      <c r="B4" s="9"/>
      <c r="C4" s="9" t="s">
        <v>283</v>
      </c>
    </row>
    <row r="5" spans="1:43" ht="15.75" thickBot="1" x14ac:dyDescent="0.3">
      <c r="AK5" s="4"/>
    </row>
    <row r="6" spans="1:43" x14ac:dyDescent="0.25">
      <c r="A6" s="5" t="s">
        <v>2</v>
      </c>
      <c r="B6" s="33" t="s">
        <v>292</v>
      </c>
      <c r="C6" t="s">
        <v>210</v>
      </c>
      <c r="D6" t="s">
        <v>3</v>
      </c>
      <c r="E6" t="s">
        <v>4</v>
      </c>
      <c r="F6" t="s">
        <v>237</v>
      </c>
      <c r="H6" s="6" t="s">
        <v>5</v>
      </c>
      <c r="I6" s="7" t="s">
        <v>210</v>
      </c>
      <c r="J6" s="7" t="s">
        <v>3</v>
      </c>
      <c r="K6" s="8" t="s">
        <v>86</v>
      </c>
      <c r="P6" s="5" t="s">
        <v>6</v>
      </c>
      <c r="AK6" s="4"/>
    </row>
    <row r="7" spans="1:43" x14ac:dyDescent="0.25">
      <c r="A7" t="s">
        <v>7</v>
      </c>
      <c r="B7" s="9"/>
      <c r="C7" s="17">
        <f>IFERROR(VLOOKUP(Fællesindtastning!$C$4,Fællesindtastning!O26:U30,2,FALSE),0)</f>
        <v>35</v>
      </c>
      <c r="D7" s="9">
        <v>30</v>
      </c>
      <c r="E7" t="s">
        <v>8</v>
      </c>
      <c r="F7" s="139">
        <f t="shared" ref="F7:F13" si="0">IFERROR(IF(D7/C7="","0%",D7/C7),"0%")</f>
        <v>0.8571428571428571</v>
      </c>
      <c r="G7" s="139"/>
      <c r="H7" s="10" t="s">
        <v>231</v>
      </c>
      <c r="I7" s="11">
        <f>C99</f>
        <v>5141180.0487506827</v>
      </c>
      <c r="J7" s="11">
        <f>D99</f>
        <v>1979167.6354336201</v>
      </c>
      <c r="K7" s="12" t="s">
        <v>9</v>
      </c>
      <c r="L7" s="13"/>
      <c r="M7" s="13"/>
      <c r="N7" s="13"/>
      <c r="O7" s="13"/>
      <c r="AK7" s="4"/>
      <c r="AQ7" s="14"/>
    </row>
    <row r="8" spans="1:43" x14ac:dyDescent="0.25">
      <c r="A8" t="s">
        <v>10</v>
      </c>
      <c r="B8" s="9"/>
      <c r="C8" s="17">
        <f>IFERROR(VLOOKUP(Fællesindtastning!$C$4,Fællesindtastning!O26:U30,3,FALSE),0)</f>
        <v>186</v>
      </c>
      <c r="D8" s="9">
        <v>85</v>
      </c>
      <c r="E8" t="s">
        <v>8</v>
      </c>
      <c r="F8" s="139">
        <f t="shared" si="0"/>
        <v>0.45698924731182794</v>
      </c>
      <c r="G8" s="139"/>
      <c r="H8" s="10" t="s">
        <v>232</v>
      </c>
      <c r="I8" s="11">
        <f>C102</f>
        <v>1694000.0000000002</v>
      </c>
      <c r="J8" s="11">
        <f>D102</f>
        <v>632500</v>
      </c>
      <c r="K8" s="12" t="s">
        <v>9</v>
      </c>
      <c r="L8" s="13"/>
      <c r="M8" s="13"/>
      <c r="N8" s="13"/>
      <c r="O8" s="13"/>
      <c r="AK8" s="4"/>
      <c r="AQ8" s="14"/>
    </row>
    <row r="9" spans="1:43" x14ac:dyDescent="0.25">
      <c r="A9" t="s">
        <v>11</v>
      </c>
      <c r="B9" s="15"/>
      <c r="C9" s="143">
        <f>IFERROR(VLOOKUP(Fællesindtastning!$C$4,Fællesindtastning!O26:U30,4,FALSE),0)</f>
        <v>7</v>
      </c>
      <c r="D9" s="9">
        <v>0</v>
      </c>
      <c r="E9" t="s">
        <v>8</v>
      </c>
      <c r="F9" s="139">
        <f t="shared" si="0"/>
        <v>0</v>
      </c>
      <c r="G9" s="139"/>
      <c r="H9" s="10" t="s">
        <v>233</v>
      </c>
      <c r="I9" s="11">
        <f>C103</f>
        <v>3447180.0487506827</v>
      </c>
      <c r="J9" s="11">
        <f>D103</f>
        <v>1346667.6354336201</v>
      </c>
      <c r="K9" s="12" t="s">
        <v>9</v>
      </c>
      <c r="L9" s="13"/>
      <c r="M9" s="13"/>
      <c r="N9" s="13"/>
      <c r="O9" s="13"/>
      <c r="AK9" s="4"/>
      <c r="AQ9" s="14"/>
    </row>
    <row r="10" spans="1:43" x14ac:dyDescent="0.25">
      <c r="A10" t="s">
        <v>12</v>
      </c>
      <c r="B10" s="9"/>
      <c r="C10" s="17">
        <f>IFERROR(VLOOKUP(Fællesindtastning!$C$4,Fællesindtastning!O26:U30,5,FALSE),0)</f>
        <v>27</v>
      </c>
      <c r="D10" s="9">
        <v>0</v>
      </c>
      <c r="E10" t="s">
        <v>8</v>
      </c>
      <c r="F10" s="139">
        <f t="shared" si="0"/>
        <v>0</v>
      </c>
      <c r="G10" s="139"/>
      <c r="H10" s="10" t="s">
        <v>234</v>
      </c>
      <c r="I10" s="11">
        <f>C106</f>
        <v>1080.5391183865859</v>
      </c>
      <c r="J10" s="11">
        <f>D106</f>
        <v>1545.8313841499225</v>
      </c>
      <c r="K10" s="12" t="str">
        <f>E106</f>
        <v>kr./år</v>
      </c>
      <c r="L10" s="13"/>
      <c r="M10" s="13"/>
      <c r="N10" s="13"/>
      <c r="O10" s="13"/>
      <c r="AK10" s="4"/>
      <c r="AQ10" s="14"/>
    </row>
    <row r="11" spans="1:43" ht="17.25" x14ac:dyDescent="0.25">
      <c r="A11" t="s">
        <v>13</v>
      </c>
      <c r="B11" s="9"/>
      <c r="C11" s="17">
        <f>IFERROR(VLOOKUP(Fællesindtastning!$C$4,Fællesindtastning!O26:U30,6,FALSE),0)</f>
        <v>53</v>
      </c>
      <c r="D11" s="9">
        <v>0</v>
      </c>
      <c r="E11" t="s">
        <v>8</v>
      </c>
      <c r="F11" s="139">
        <f t="shared" si="0"/>
        <v>0</v>
      </c>
      <c r="G11" s="139"/>
      <c r="H11" s="10" t="str">
        <f>A109</f>
        <v>CO2-besparelse</v>
      </c>
      <c r="I11" s="11">
        <f>C109</f>
        <v>992.10997442455266</v>
      </c>
      <c r="J11" s="11">
        <f>D109</f>
        <v>457.97097186700773</v>
      </c>
      <c r="K11" s="12" t="s">
        <v>16</v>
      </c>
      <c r="L11" s="13"/>
      <c r="M11" s="13"/>
      <c r="N11" s="13"/>
      <c r="O11" s="13"/>
      <c r="AK11" s="4"/>
      <c r="AQ11" s="14"/>
    </row>
    <row r="12" spans="1:43" x14ac:dyDescent="0.25">
      <c r="A12" t="s">
        <v>15</v>
      </c>
      <c r="B12" s="9"/>
      <c r="C12" s="17">
        <f>IFERROR(VLOOKUP(Fællesindtastning!$C$4,Fællesindtastning!O26:U30,7,FALSE),0)</f>
        <v>0</v>
      </c>
      <c r="D12" s="9">
        <v>0</v>
      </c>
      <c r="E12" t="s">
        <v>8</v>
      </c>
      <c r="F12" s="139" t="str">
        <f t="shared" si="0"/>
        <v>0%</v>
      </c>
      <c r="G12" s="139"/>
      <c r="H12" s="52" t="str">
        <f>A40</f>
        <v>Udnyttelsesgrad af grundvandsboringernes kapacitet</v>
      </c>
      <c r="I12" s="151">
        <f>C40</f>
        <v>0.82811669252991504</v>
      </c>
      <c r="J12" s="151">
        <f>D40</f>
        <v>0.92759824325591145</v>
      </c>
      <c r="K12" s="150" t="s">
        <v>117</v>
      </c>
      <c r="L12" s="13"/>
      <c r="M12" s="13"/>
      <c r="N12" s="13"/>
      <c r="O12" s="13"/>
      <c r="AK12" s="4"/>
      <c r="AQ12" s="14"/>
    </row>
    <row r="13" spans="1:43" x14ac:dyDescent="0.25">
      <c r="A13" t="s">
        <v>17</v>
      </c>
      <c r="B13">
        <f>SUM(B7:B12)</f>
        <v>0</v>
      </c>
      <c r="C13">
        <f>SUM(C7:C12)</f>
        <v>308</v>
      </c>
      <c r="D13">
        <f>SUM(D7:D12)</f>
        <v>115</v>
      </c>
      <c r="E13" t="s">
        <v>8</v>
      </c>
      <c r="F13" s="139">
        <f t="shared" si="0"/>
        <v>0.37337662337662336</v>
      </c>
      <c r="G13" s="139"/>
      <c r="H13" s="52" t="str">
        <f>A52</f>
        <v xml:space="preserve">Beregnet projektsum pr husstand </v>
      </c>
      <c r="I13" s="152">
        <f>C52</f>
        <v>164812.02877015067</v>
      </c>
      <c r="J13" s="11">
        <f>D52</f>
        <v>166078.09740909596</v>
      </c>
      <c r="K13" s="12" t="s">
        <v>41</v>
      </c>
      <c r="L13" s="13"/>
      <c r="M13" s="13"/>
      <c r="N13" s="13"/>
      <c r="O13" s="13"/>
      <c r="AK13" s="4"/>
      <c r="AQ13" s="14"/>
    </row>
    <row r="14" spans="1:43" ht="15.75" thickBot="1" x14ac:dyDescent="0.3">
      <c r="H14" s="64" t="s">
        <v>304</v>
      </c>
      <c r="I14" s="153">
        <f>(C79*-1)+(Privatøkonomi!$K$26*1.25)+((Fællesindtastning!C30*1000/Fællesindtastning!C31)*Fællesindtastning!C20)</f>
        <v>18111.603897037709</v>
      </c>
      <c r="J14" s="153">
        <f>(D79*-1)+(Privatøkonomi!$K$26*1.25)+((Fællesindtastning!D30*1000/Fællesindtastning!D31)*Fællesindtastning!D20)</f>
        <v>18164.321967446773</v>
      </c>
      <c r="K14" s="16" t="s">
        <v>305</v>
      </c>
      <c r="L14" s="13"/>
      <c r="M14" s="13"/>
      <c r="N14" s="13"/>
      <c r="O14" s="13"/>
      <c r="AK14" s="4"/>
      <c r="AQ14" s="14"/>
    </row>
    <row r="15" spans="1:43" x14ac:dyDescent="0.25">
      <c r="A15" s="5" t="s">
        <v>18</v>
      </c>
      <c r="B15" s="5"/>
      <c r="D15" s="17" t="s">
        <v>19</v>
      </c>
      <c r="E15" s="17"/>
      <c r="H15" s="13"/>
      <c r="I15" s="13"/>
      <c r="J15" s="13"/>
      <c r="K15" s="13"/>
      <c r="L15" s="13"/>
      <c r="M15" s="13"/>
      <c r="N15" s="13"/>
      <c r="O15" s="13"/>
      <c r="AK15" s="4"/>
      <c r="AQ15" s="14"/>
    </row>
    <row r="16" spans="1:43" x14ac:dyDescent="0.25">
      <c r="A16" t="s">
        <v>7</v>
      </c>
      <c r="C16" s="18">
        <f t="shared" ref="C16:C21" si="1">D16</f>
        <v>9</v>
      </c>
      <c r="D16" s="9">
        <v>9</v>
      </c>
      <c r="E16" s="19" t="s">
        <v>20</v>
      </c>
      <c r="H16" s="13"/>
      <c r="I16" s="13"/>
      <c r="J16" s="13"/>
      <c r="K16" s="13"/>
      <c r="L16" s="13"/>
      <c r="M16" s="13"/>
      <c r="N16" s="13"/>
      <c r="O16" s="13"/>
      <c r="AK16" s="4"/>
      <c r="AQ16" s="14"/>
    </row>
    <row r="17" spans="1:43" x14ac:dyDescent="0.25">
      <c r="A17" t="s">
        <v>10</v>
      </c>
      <c r="C17" s="18">
        <f t="shared" si="1"/>
        <v>8</v>
      </c>
      <c r="D17" s="9">
        <v>8</v>
      </c>
      <c r="E17" t="s">
        <v>120</v>
      </c>
      <c r="H17" t="s">
        <v>21</v>
      </c>
      <c r="I17" t="s">
        <v>4</v>
      </c>
      <c r="J17" t="s">
        <v>22</v>
      </c>
      <c r="K17" t="s">
        <v>23</v>
      </c>
      <c r="L17" s="13" t="s">
        <v>24</v>
      </c>
      <c r="M17" s="13" t="s">
        <v>25</v>
      </c>
      <c r="N17" s="13" t="s">
        <v>26</v>
      </c>
      <c r="O17" s="13" t="s">
        <v>27</v>
      </c>
      <c r="P17" t="s">
        <v>28</v>
      </c>
      <c r="AK17" s="4"/>
      <c r="AQ17" s="14"/>
    </row>
    <row r="18" spans="1:43" x14ac:dyDescent="0.25">
      <c r="A18" t="s">
        <v>11</v>
      </c>
      <c r="C18" s="18">
        <f t="shared" si="1"/>
        <v>2.4</v>
      </c>
      <c r="D18" s="9">
        <v>2.4</v>
      </c>
      <c r="E18" t="s">
        <v>29</v>
      </c>
      <c r="H18" t="s">
        <v>7</v>
      </c>
      <c r="I18" t="s">
        <v>30</v>
      </c>
      <c r="J18">
        <v>10</v>
      </c>
      <c r="K18" s="20">
        <v>0.85</v>
      </c>
      <c r="L18" s="21">
        <v>3000</v>
      </c>
      <c r="M18" s="22">
        <v>266.40000000000003</v>
      </c>
      <c r="N18" s="23">
        <f t="shared" ref="N18:O23" si="2">C7*$D$30*$M18/$K18-C7*$D$30/$D$31*$M$21</f>
        <v>186138.23529411768</v>
      </c>
      <c r="O18" s="23">
        <f t="shared" si="2"/>
        <v>159547.05882352946</v>
      </c>
      <c r="P18">
        <v>106</v>
      </c>
      <c r="Q18">
        <v>68</v>
      </c>
      <c r="R18">
        <v>35</v>
      </c>
      <c r="S18">
        <v>24</v>
      </c>
      <c r="AK18" s="4"/>
      <c r="AQ18" s="14"/>
    </row>
    <row r="19" spans="1:43" x14ac:dyDescent="0.25">
      <c r="A19" t="s">
        <v>12</v>
      </c>
      <c r="C19" s="18">
        <f t="shared" si="1"/>
        <v>1.1000000000000001</v>
      </c>
      <c r="D19" s="24">
        <v>1.1000000000000001</v>
      </c>
      <c r="E19" t="s">
        <v>31</v>
      </c>
      <c r="H19" t="s">
        <v>10</v>
      </c>
      <c r="I19" t="s">
        <v>32</v>
      </c>
      <c r="J19">
        <v>11</v>
      </c>
      <c r="K19" s="20">
        <v>0.92</v>
      </c>
      <c r="L19" s="21">
        <v>2400</v>
      </c>
      <c r="M19" s="22">
        <v>205.20000000000002</v>
      </c>
      <c r="N19" s="23">
        <f t="shared" si="2"/>
        <v>653021.73913043493</v>
      </c>
      <c r="O19" s="23">
        <f t="shared" si="2"/>
        <v>298423.91304347827</v>
      </c>
      <c r="P19">
        <v>337</v>
      </c>
      <c r="Q19">
        <v>424</v>
      </c>
      <c r="R19">
        <v>186</v>
      </c>
      <c r="S19">
        <v>0</v>
      </c>
      <c r="AK19" s="4"/>
      <c r="AQ19" s="14"/>
    </row>
    <row r="20" spans="1:43" x14ac:dyDescent="0.25">
      <c r="A20" t="s">
        <v>33</v>
      </c>
      <c r="C20" s="18">
        <f t="shared" si="1"/>
        <v>1.1000000000000001</v>
      </c>
      <c r="D20" s="24">
        <v>1.1000000000000001</v>
      </c>
      <c r="E20" t="s">
        <v>31</v>
      </c>
      <c r="H20" t="s">
        <v>11</v>
      </c>
      <c r="I20" t="s">
        <v>34</v>
      </c>
      <c r="J20">
        <v>4.3</v>
      </c>
      <c r="K20" s="20">
        <v>0.82</v>
      </c>
      <c r="L20" s="21">
        <v>4375</v>
      </c>
      <c r="M20" s="22">
        <v>0</v>
      </c>
      <c r="N20" s="23">
        <f t="shared" si="2"/>
        <v>-6650</v>
      </c>
      <c r="O20" s="23">
        <f t="shared" si="2"/>
        <v>0</v>
      </c>
      <c r="P20">
        <v>4</v>
      </c>
      <c r="Q20">
        <v>15</v>
      </c>
      <c r="R20">
        <v>7</v>
      </c>
      <c r="S20">
        <v>1</v>
      </c>
      <c r="AQ20" s="14"/>
    </row>
    <row r="21" spans="1:43" x14ac:dyDescent="0.25">
      <c r="A21" t="s">
        <v>15</v>
      </c>
      <c r="C21" s="18">
        <f t="shared" si="1"/>
        <v>0.7</v>
      </c>
      <c r="D21" s="9">
        <v>0.7</v>
      </c>
      <c r="E21" t="s">
        <v>35</v>
      </c>
      <c r="H21" t="s">
        <v>12</v>
      </c>
      <c r="I21" t="s">
        <v>36</v>
      </c>
      <c r="J21">
        <v>1</v>
      </c>
      <c r="K21" s="20">
        <v>3</v>
      </c>
      <c r="L21" s="21">
        <v>7500</v>
      </c>
      <c r="M21" s="22">
        <v>190</v>
      </c>
      <c r="N21" s="23">
        <f t="shared" si="2"/>
        <v>8550</v>
      </c>
      <c r="O21" s="23">
        <f t="shared" si="2"/>
        <v>0</v>
      </c>
      <c r="P21">
        <v>40</v>
      </c>
      <c r="Q21">
        <v>34</v>
      </c>
      <c r="R21">
        <v>27</v>
      </c>
      <c r="S21">
        <v>5</v>
      </c>
      <c r="AQ21" s="14"/>
    </row>
    <row r="22" spans="1:43" x14ac:dyDescent="0.25">
      <c r="H22" t="s">
        <v>33</v>
      </c>
      <c r="I22" t="s">
        <v>36</v>
      </c>
      <c r="J22">
        <v>1</v>
      </c>
      <c r="K22" s="20">
        <v>1</v>
      </c>
      <c r="L22" s="21">
        <v>250</v>
      </c>
      <c r="M22" s="22">
        <v>190</v>
      </c>
      <c r="N22" s="23">
        <f t="shared" si="2"/>
        <v>151050</v>
      </c>
      <c r="O22" s="23">
        <f t="shared" si="2"/>
        <v>0</v>
      </c>
      <c r="P22">
        <v>95</v>
      </c>
      <c r="Q22">
        <v>79</v>
      </c>
      <c r="R22">
        <v>53</v>
      </c>
      <c r="S22">
        <v>2</v>
      </c>
      <c r="AQ22" s="14"/>
    </row>
    <row r="23" spans="1:43" x14ac:dyDescent="0.25">
      <c r="A23" s="5" t="s">
        <v>37</v>
      </c>
      <c r="B23" s="5"/>
      <c r="H23" t="s">
        <v>15</v>
      </c>
      <c r="I23" t="s">
        <v>36</v>
      </c>
      <c r="J23">
        <v>1</v>
      </c>
      <c r="K23" s="20">
        <v>1</v>
      </c>
      <c r="L23" s="21">
        <v>1000</v>
      </c>
      <c r="M23" s="22">
        <v>90</v>
      </c>
      <c r="N23" s="23">
        <f t="shared" si="2"/>
        <v>0</v>
      </c>
      <c r="O23" s="23">
        <f t="shared" si="2"/>
        <v>0</v>
      </c>
      <c r="P23">
        <v>0</v>
      </c>
      <c r="Q23">
        <v>0</v>
      </c>
      <c r="R23">
        <v>0</v>
      </c>
      <c r="S23">
        <v>0</v>
      </c>
      <c r="AQ23" s="14"/>
    </row>
    <row r="24" spans="1:43" x14ac:dyDescent="0.25">
      <c r="A24" t="s">
        <v>38</v>
      </c>
      <c r="D24" s="25" t="s">
        <v>39</v>
      </c>
      <c r="K24" s="20"/>
      <c r="L24" s="21"/>
      <c r="M24" s="26"/>
      <c r="N24" s="26"/>
      <c r="O24" s="26"/>
      <c r="AQ24" s="14"/>
    </row>
    <row r="25" spans="1:43" x14ac:dyDescent="0.25">
      <c r="A25" t="s">
        <v>40</v>
      </c>
      <c r="C25" s="23">
        <f>D25</f>
        <v>0</v>
      </c>
      <c r="D25" s="27">
        <v>0</v>
      </c>
      <c r="E25" t="s">
        <v>41</v>
      </c>
      <c r="H25" t="s">
        <v>42</v>
      </c>
      <c r="I25" t="s">
        <v>43</v>
      </c>
      <c r="J25" t="s">
        <v>44</v>
      </c>
      <c r="K25" s="20" t="s">
        <v>45</v>
      </c>
      <c r="L25" t="s">
        <v>46</v>
      </c>
      <c r="M25" s="26" t="s">
        <v>47</v>
      </c>
      <c r="N25" s="26"/>
      <c r="O25" s="141" t="s">
        <v>281</v>
      </c>
      <c r="P25" s="142" t="s">
        <v>285</v>
      </c>
      <c r="Q25" s="142" t="s">
        <v>286</v>
      </c>
      <c r="R25" s="142" t="s">
        <v>287</v>
      </c>
      <c r="S25" s="142" t="s">
        <v>288</v>
      </c>
      <c r="T25" s="142" t="s">
        <v>289</v>
      </c>
      <c r="U25" s="142" t="s">
        <v>290</v>
      </c>
      <c r="AQ25" s="14"/>
    </row>
    <row r="26" spans="1:43" x14ac:dyDescent="0.25">
      <c r="A26" t="s">
        <v>222</v>
      </c>
      <c r="C26" s="23">
        <f>D26</f>
        <v>71600</v>
      </c>
      <c r="D26" s="27">
        <v>71600</v>
      </c>
      <c r="E26" t="s">
        <v>218</v>
      </c>
      <c r="H26" t="s">
        <v>7</v>
      </c>
      <c r="I26">
        <v>1</v>
      </c>
      <c r="J26">
        <v>1.8</v>
      </c>
      <c r="K26">
        <v>1.5</v>
      </c>
      <c r="L26" s="28">
        <f t="shared" ref="L26:M31" si="3">((C7*$D$30/$K18)*$I26-(C7*($D$30/$D$31*$J26)))*$K26</f>
        <v>762.79411764705878</v>
      </c>
      <c r="M26" s="28">
        <f t="shared" si="3"/>
        <v>653.82352941176464</v>
      </c>
      <c r="N26" s="28"/>
      <c r="O26" s="28" t="s">
        <v>212</v>
      </c>
      <c r="P26">
        <v>106</v>
      </c>
      <c r="Q26">
        <v>337</v>
      </c>
      <c r="R26">
        <v>4</v>
      </c>
      <c r="S26">
        <v>40</v>
      </c>
      <c r="T26">
        <v>95</v>
      </c>
      <c r="U26">
        <v>0</v>
      </c>
      <c r="AQ26" s="14"/>
    </row>
    <row r="27" spans="1:43" x14ac:dyDescent="0.25">
      <c r="A27" t="s">
        <v>303</v>
      </c>
      <c r="C27" s="23">
        <f>D27</f>
        <v>40000</v>
      </c>
      <c r="D27" s="27">
        <v>40000</v>
      </c>
      <c r="E27" t="s">
        <v>218</v>
      </c>
      <c r="H27" t="s">
        <v>10</v>
      </c>
      <c r="I27">
        <v>1</v>
      </c>
      <c r="J27">
        <v>1.8</v>
      </c>
      <c r="K27">
        <v>1.5</v>
      </c>
      <c r="L27" s="28">
        <f t="shared" si="3"/>
        <v>3554.2173913043475</v>
      </c>
      <c r="M27" s="28">
        <f t="shared" si="3"/>
        <v>1624.2391304347825</v>
      </c>
      <c r="N27" s="28"/>
      <c r="O27" s="28" t="s">
        <v>282</v>
      </c>
      <c r="P27">
        <v>68</v>
      </c>
      <c r="Q27">
        <v>424</v>
      </c>
      <c r="R27">
        <v>15</v>
      </c>
      <c r="S27">
        <v>34</v>
      </c>
      <c r="T27">
        <v>79</v>
      </c>
      <c r="U27">
        <v>0</v>
      </c>
      <c r="AQ27" s="14"/>
    </row>
    <row r="28" spans="1:43" x14ac:dyDescent="0.25">
      <c r="H28" t="s">
        <v>11</v>
      </c>
      <c r="I28">
        <v>1</v>
      </c>
      <c r="J28">
        <v>1</v>
      </c>
      <c r="K28">
        <v>1</v>
      </c>
      <c r="L28" s="28">
        <f t="shared" si="3"/>
        <v>135.73170731707319</v>
      </c>
      <c r="M28" s="28">
        <f t="shared" si="3"/>
        <v>0</v>
      </c>
      <c r="N28" s="28"/>
      <c r="O28" s="28" t="s">
        <v>283</v>
      </c>
      <c r="P28">
        <v>35</v>
      </c>
      <c r="Q28">
        <v>186</v>
      </c>
      <c r="R28">
        <v>7</v>
      </c>
      <c r="S28">
        <v>27</v>
      </c>
      <c r="T28">
        <v>53</v>
      </c>
      <c r="U28">
        <v>0</v>
      </c>
      <c r="AQ28" s="14"/>
    </row>
    <row r="29" spans="1:43" x14ac:dyDescent="0.25">
      <c r="A29" s="5" t="s">
        <v>48</v>
      </c>
      <c r="B29" s="5"/>
      <c r="H29" t="s">
        <v>12</v>
      </c>
      <c r="I29">
        <v>1</v>
      </c>
      <c r="J29">
        <v>1</v>
      </c>
      <c r="K29">
        <v>1</v>
      </c>
      <c r="L29" s="28">
        <f t="shared" si="3"/>
        <v>45</v>
      </c>
      <c r="M29" s="28">
        <f t="shared" si="3"/>
        <v>0</v>
      </c>
      <c r="N29" s="28"/>
      <c r="O29" s="28" t="s">
        <v>284</v>
      </c>
      <c r="P29">
        <v>24</v>
      </c>
      <c r="Q29">
        <v>0</v>
      </c>
      <c r="R29">
        <v>1</v>
      </c>
      <c r="S29">
        <v>5</v>
      </c>
      <c r="T29">
        <v>2</v>
      </c>
      <c r="U29">
        <v>0</v>
      </c>
      <c r="AQ29" s="14"/>
    </row>
    <row r="30" spans="1:43" x14ac:dyDescent="0.25">
      <c r="A30" t="s">
        <v>49</v>
      </c>
      <c r="C30">
        <f>D30</f>
        <v>20</v>
      </c>
      <c r="D30" s="25">
        <v>20</v>
      </c>
      <c r="E30" t="s">
        <v>50</v>
      </c>
      <c r="H30" t="s">
        <v>33</v>
      </c>
      <c r="I30" s="13">
        <v>1</v>
      </c>
      <c r="J30" s="13">
        <v>1</v>
      </c>
      <c r="K30">
        <v>1</v>
      </c>
      <c r="L30" s="28">
        <f t="shared" si="3"/>
        <v>795</v>
      </c>
      <c r="M30" s="28">
        <f t="shared" si="3"/>
        <v>0</v>
      </c>
      <c r="N30" s="28"/>
      <c r="O30" s="28">
        <f>B4</f>
        <v>0</v>
      </c>
      <c r="P30">
        <f>B7</f>
        <v>0</v>
      </c>
      <c r="Q30">
        <f>B8</f>
        <v>0</v>
      </c>
      <c r="R30" s="28">
        <f>B9</f>
        <v>0</v>
      </c>
      <c r="S30">
        <f>B10</f>
        <v>0</v>
      </c>
      <c r="T30">
        <f>B11</f>
        <v>0</v>
      </c>
      <c r="U30">
        <f>B12</f>
        <v>0</v>
      </c>
      <c r="AQ30" s="14"/>
    </row>
    <row r="31" spans="1:43" x14ac:dyDescent="0.25">
      <c r="A31" t="s">
        <v>51</v>
      </c>
      <c r="C31">
        <f>D31</f>
        <v>4</v>
      </c>
      <c r="D31" s="25">
        <v>4</v>
      </c>
      <c r="E31" t="s">
        <v>52</v>
      </c>
      <c r="H31" t="s">
        <v>15</v>
      </c>
      <c r="I31" s="13">
        <v>1</v>
      </c>
      <c r="J31" s="13">
        <v>1.8</v>
      </c>
      <c r="K31">
        <v>1</v>
      </c>
      <c r="L31" s="28">
        <f t="shared" si="3"/>
        <v>0</v>
      </c>
      <c r="M31" s="28">
        <f t="shared" si="3"/>
        <v>0</v>
      </c>
      <c r="N31" s="28"/>
      <c r="O31" s="28"/>
      <c r="AQ31" s="14"/>
    </row>
    <row r="32" spans="1:43" x14ac:dyDescent="0.25">
      <c r="A32" s="29" t="s">
        <v>53</v>
      </c>
      <c r="B32" s="29"/>
      <c r="C32" s="30" t="str">
        <f>D32</f>
        <v>Ja</v>
      </c>
      <c r="D32" s="25" t="s">
        <v>54</v>
      </c>
      <c r="H32" t="s">
        <v>58</v>
      </c>
      <c r="I32" s="13"/>
      <c r="J32" s="13">
        <f>8.25*161</f>
        <v>1328.25</v>
      </c>
      <c r="K32" s="13"/>
      <c r="L32" s="31">
        <f>SUM(L26:L31)</f>
        <v>5292.74321626848</v>
      </c>
      <c r="M32" s="31">
        <f>SUM(M26:M31)</f>
        <v>2278.0626598465469</v>
      </c>
      <c r="N32" s="31"/>
      <c r="O32" s="31"/>
      <c r="AQ32" s="14"/>
    </row>
    <row r="33" spans="1:43" x14ac:dyDescent="0.25">
      <c r="A33" t="s">
        <v>55</v>
      </c>
      <c r="C33" s="30">
        <f>IF(ISNUMBER(D33),D33,"")</f>
        <v>50</v>
      </c>
      <c r="D33" s="25">
        <v>50</v>
      </c>
      <c r="E33" t="str">
        <f>IF(ISNUMBER(D33),E34,"")</f>
        <v>m³/h</v>
      </c>
      <c r="I33" s="13"/>
      <c r="J33" s="13"/>
      <c r="K33" s="13"/>
      <c r="L33" s="13"/>
      <c r="M33" s="13"/>
      <c r="N33" s="13"/>
      <c r="O33" s="13"/>
      <c r="AQ33" s="14"/>
    </row>
    <row r="34" spans="1:43" outlineLevel="1" x14ac:dyDescent="0.25">
      <c r="A34" t="s">
        <v>56</v>
      </c>
      <c r="C34">
        <f>D34</f>
        <v>50</v>
      </c>
      <c r="D34">
        <f>IF(ISNUMBER(D33),D33,50)</f>
        <v>50</v>
      </c>
      <c r="E34" t="s">
        <v>57</v>
      </c>
      <c r="H34" s="13" t="s">
        <v>54</v>
      </c>
      <c r="I34" s="13"/>
      <c r="J34" s="13"/>
      <c r="K34" s="13"/>
      <c r="L34" s="13"/>
      <c r="M34" s="13"/>
      <c r="N34" s="13"/>
      <c r="O34" s="13"/>
      <c r="AQ34" s="14"/>
    </row>
    <row r="35" spans="1:43" outlineLevel="1" x14ac:dyDescent="0.25">
      <c r="A35" t="s">
        <v>59</v>
      </c>
      <c r="C35" s="23">
        <f>C30*C13</f>
        <v>6160</v>
      </c>
      <c r="D35" s="23">
        <f>D30*D13</f>
        <v>2300</v>
      </c>
      <c r="E35" t="s">
        <v>50</v>
      </c>
      <c r="H35" s="13" t="s">
        <v>61</v>
      </c>
      <c r="I35" s="13"/>
      <c r="J35" s="13"/>
      <c r="K35" s="13"/>
      <c r="L35" s="13"/>
      <c r="M35" s="13"/>
      <c r="N35" s="13"/>
      <c r="O35" s="13"/>
      <c r="AQ35" s="14"/>
    </row>
    <row r="36" spans="1:43" outlineLevel="1" x14ac:dyDescent="0.25">
      <c r="A36" t="s">
        <v>261</v>
      </c>
      <c r="C36" s="23">
        <f>((((C30*0.8)/3037*1000)/24)*(17-(-12))+(C30*0.2*1000)/8760)*C13</f>
        <v>2101.3461072946593</v>
      </c>
      <c r="D36" s="23">
        <f>((((D30*0.8)/3037*1000)/24)*(17-(-12))+(D30*0.2*1000)/8760)*D13</f>
        <v>784.59351408729162</v>
      </c>
      <c r="E36" t="s">
        <v>60</v>
      </c>
      <c r="H36" s="13"/>
      <c r="I36" s="13"/>
      <c r="J36" s="13"/>
      <c r="K36" s="13"/>
      <c r="L36" s="13"/>
      <c r="M36" s="13"/>
      <c r="N36" s="13"/>
      <c r="O36" s="13"/>
      <c r="AQ36" s="14"/>
    </row>
    <row r="37" spans="1:43" ht="17.25" outlineLevel="1" x14ac:dyDescent="0.25">
      <c r="A37" t="s">
        <v>262</v>
      </c>
      <c r="C37" s="23">
        <f>C36*IF(C13&lt;20,1,IF(C13&lt;45,0.8,0.64))</f>
        <v>1344.861508668582</v>
      </c>
      <c r="D37" s="23">
        <f>D36*IF(D13&lt;20,1,IF(D13&lt;45,0.8,0.64))</f>
        <v>502.13984901586667</v>
      </c>
      <c r="E37" t="s">
        <v>60</v>
      </c>
      <c r="H37" s="13" t="s">
        <v>39</v>
      </c>
      <c r="I37" s="13">
        <v>1</v>
      </c>
      <c r="J37" s="13"/>
      <c r="K37" s="13"/>
      <c r="L37" s="13"/>
      <c r="M37" s="13"/>
      <c r="N37" s="13"/>
      <c r="O37" s="13"/>
      <c r="AQ37" s="14"/>
    </row>
    <row r="38" spans="1:43" ht="17.25" outlineLevel="1" x14ac:dyDescent="0.25">
      <c r="A38" t="s">
        <v>62</v>
      </c>
      <c r="C38" s="28">
        <f>ROUNDUP(C37/((C34*1.16*7))*((C31-1)/C31),0)</f>
        <v>3</v>
      </c>
      <c r="D38" s="28">
        <f>ROUNDUP(D37/((D34*1.16*7))*((D31-1)/D31),0)</f>
        <v>1</v>
      </c>
      <c r="E38" t="s">
        <v>63</v>
      </c>
      <c r="H38" t="s">
        <v>65</v>
      </c>
      <c r="I38">
        <v>1.6</v>
      </c>
      <c r="AQ38" s="14"/>
    </row>
    <row r="39" spans="1:43" ht="17.25" outlineLevel="1" x14ac:dyDescent="0.25">
      <c r="A39" t="s">
        <v>64</v>
      </c>
      <c r="C39" s="28">
        <f>ROUNDUP(C36/((C34*1.16*7))*((C31-1)/C31),0)</f>
        <v>4</v>
      </c>
      <c r="D39" s="28">
        <f>ROUNDUP(D36/((D34*1.16*7))*((D31-1)/D31),0)</f>
        <v>2</v>
      </c>
      <c r="E39" t="s">
        <v>63</v>
      </c>
      <c r="H39" t="s">
        <v>66</v>
      </c>
      <c r="I39">
        <v>2.41</v>
      </c>
      <c r="AQ39" s="14"/>
    </row>
    <row r="40" spans="1:43" outlineLevel="1" x14ac:dyDescent="0.25">
      <c r="A40" t="s">
        <v>301</v>
      </c>
      <c r="C40" s="149">
        <f>(C37*((C31-1)/C31)/1.16/7)/(C34*C38)</f>
        <v>0.82811669252991504</v>
      </c>
      <c r="D40" s="149">
        <f>(D37*((D31-1)/D31)/1.16/7)/(D34*D38)</f>
        <v>0.92759824325591145</v>
      </c>
      <c r="E40" t="s">
        <v>117</v>
      </c>
      <c r="H40">
        <v>15</v>
      </c>
      <c r="I40">
        <v>3.5</v>
      </c>
      <c r="AQ40" s="14"/>
    </row>
    <row r="41" spans="1:43" outlineLevel="1" x14ac:dyDescent="0.25">
      <c r="C41" s="32"/>
      <c r="D41" s="32"/>
      <c r="F41" s="128"/>
      <c r="G41" s="128"/>
      <c r="H41">
        <v>20</v>
      </c>
      <c r="I41">
        <v>4</v>
      </c>
      <c r="AQ41" s="14"/>
    </row>
    <row r="42" spans="1:43" outlineLevel="1" x14ac:dyDescent="0.25">
      <c r="A42" s="5" t="s">
        <v>219</v>
      </c>
      <c r="B42" s="5"/>
      <c r="C42" s="32"/>
      <c r="E42" s="5"/>
      <c r="F42" t="s">
        <v>259</v>
      </c>
      <c r="H42">
        <v>25</v>
      </c>
      <c r="I42">
        <v>4.5</v>
      </c>
      <c r="AQ42" s="14"/>
    </row>
    <row r="43" spans="1:43" outlineLevel="1" x14ac:dyDescent="0.25">
      <c r="A43" s="33" t="s">
        <v>67</v>
      </c>
      <c r="B43" s="33"/>
      <c r="C43" s="23">
        <f>-C25*C13</f>
        <v>0</v>
      </c>
      <c r="D43" s="23">
        <f>-D25*D13</f>
        <v>0</v>
      </c>
      <c r="E43" t="s">
        <v>41</v>
      </c>
      <c r="F43" s="128">
        <f t="shared" ref="F43:F49" si="4">D43/$D$49</f>
        <v>0</v>
      </c>
      <c r="G43" s="128"/>
      <c r="AQ43" s="14"/>
    </row>
    <row r="44" spans="1:43" ht="17.25" outlineLevel="1" x14ac:dyDescent="0.25">
      <c r="A44" t="s">
        <v>68</v>
      </c>
      <c r="C44" s="23">
        <f>C38*(350000*2+250000*2)*1.25</f>
        <v>4500000</v>
      </c>
      <c r="D44" s="23">
        <f>D38*(350000*2+250000*2)*1.25</f>
        <v>1500000</v>
      </c>
      <c r="E44" t="s">
        <v>41</v>
      </c>
      <c r="F44" s="128">
        <f t="shared" si="4"/>
        <v>7.8538220658560989E-2</v>
      </c>
      <c r="G44" s="128"/>
      <c r="AQ44" s="14"/>
    </row>
    <row r="45" spans="1:43" ht="17.25" outlineLevel="1" x14ac:dyDescent="0.25">
      <c r="A45" t="s">
        <v>69</v>
      </c>
      <c r="C45" s="23">
        <f>(((7700000)/161)*C13*VLOOKUP($D$24,$H$37:$I$39,2,FALSE)+C38*(250000+150000/2+175000)+150000/2+525000)*1.25</f>
        <v>21038043.478260867</v>
      </c>
      <c r="D45" s="23">
        <f>(((7700000)/161)*D13*VLOOKUP($D$24,$H$37:$I$39,2,FALSE)+D38*(250000+150000/2+175000)+150000/2+525000)*1.25</f>
        <v>8250000</v>
      </c>
      <c r="E45" t="s">
        <v>41</v>
      </c>
      <c r="F45" s="128">
        <f t="shared" si="4"/>
        <v>0.43196021362208542</v>
      </c>
      <c r="G45" s="128"/>
      <c r="AQ45" s="14"/>
    </row>
    <row r="46" spans="1:43" outlineLevel="1" x14ac:dyDescent="0.25">
      <c r="A46" t="s">
        <v>240</v>
      </c>
      <c r="C46" s="23">
        <f>(C26)*C13</f>
        <v>22052800</v>
      </c>
      <c r="D46" s="23">
        <f>(D26)*D13</f>
        <v>8234000</v>
      </c>
      <c r="E46" t="s">
        <v>41</v>
      </c>
      <c r="F46" s="128">
        <f t="shared" si="4"/>
        <v>0.43112247260172742</v>
      </c>
      <c r="G46" s="128"/>
      <c r="H46" s="34" t="s">
        <v>72</v>
      </c>
      <c r="AQ46" s="14"/>
    </row>
    <row r="47" spans="1:43" ht="17.25" outlineLevel="1" x14ac:dyDescent="0.25">
      <c r="A47" t="s">
        <v>70</v>
      </c>
      <c r="C47" s="23">
        <f>SUM(C44:C46)*0.1</f>
        <v>4759084.3478260869</v>
      </c>
      <c r="D47" s="23">
        <f>SUM(D44:D46)*0.1</f>
        <v>1798400</v>
      </c>
      <c r="E47" t="s">
        <v>41</v>
      </c>
      <c r="F47" s="128">
        <f t="shared" si="4"/>
        <v>9.4162090688237388E-2</v>
      </c>
      <c r="G47" s="128"/>
      <c r="AQ47" s="14"/>
    </row>
    <row r="48" spans="1:43" outlineLevel="1" x14ac:dyDescent="0.25">
      <c r="A48" t="s">
        <v>71</v>
      </c>
      <c r="C48" s="23">
        <f>-IF(C32="Ja",1,0)*SUM(L26:L31)*0.3*1000</f>
        <v>-1587822.9648805438</v>
      </c>
      <c r="D48" s="23">
        <f>-IF(D32="Ja",1,0)*SUM(M26:M31)*0.3*1000</f>
        <v>-683418.79795396398</v>
      </c>
      <c r="E48" t="s">
        <v>41</v>
      </c>
      <c r="F48" s="128">
        <f t="shared" si="4"/>
        <v>-3.5782997570611284E-2</v>
      </c>
      <c r="G48" s="128"/>
      <c r="H48" s="37" t="s">
        <v>73</v>
      </c>
      <c r="AQ48" s="14"/>
    </row>
    <row r="49" spans="1:43" outlineLevel="1" x14ac:dyDescent="0.25">
      <c r="A49" t="s">
        <v>214</v>
      </c>
      <c r="C49" s="35">
        <f>SUM(C43:C48)</f>
        <v>50762104.861206412</v>
      </c>
      <c r="D49" s="35">
        <f>IF((D50&gt;0),D50,SUM(D43:D48))</f>
        <v>19098981.202046037</v>
      </c>
      <c r="E49" s="5" t="s">
        <v>41</v>
      </c>
      <c r="F49" s="128">
        <f t="shared" si="4"/>
        <v>1</v>
      </c>
      <c r="G49" s="128"/>
      <c r="AQ49" s="14"/>
    </row>
    <row r="50" spans="1:43" outlineLevel="1" x14ac:dyDescent="0.25">
      <c r="A50" t="s">
        <v>214</v>
      </c>
      <c r="C50" s="35"/>
      <c r="D50" s="147"/>
      <c r="E50" s="5" t="s">
        <v>41</v>
      </c>
      <c r="F50" s="128"/>
      <c r="G50" s="128"/>
      <c r="AQ50" s="14"/>
    </row>
    <row r="51" spans="1:43" outlineLevel="1" x14ac:dyDescent="0.25">
      <c r="C51" s="35"/>
      <c r="D51" s="148"/>
      <c r="E51" s="5"/>
      <c r="F51" s="128"/>
      <c r="G51" s="128"/>
    </row>
    <row r="52" spans="1:43" outlineLevel="1" x14ac:dyDescent="0.25">
      <c r="A52" t="s">
        <v>299</v>
      </c>
      <c r="C52" s="35">
        <f>C49/C13</f>
        <v>164812.02877015067</v>
      </c>
      <c r="D52" s="35">
        <f>D49/D13</f>
        <v>166078.09740909596</v>
      </c>
      <c r="E52" s="5" t="s">
        <v>300</v>
      </c>
      <c r="F52" s="128"/>
      <c r="G52" s="128"/>
    </row>
    <row r="53" spans="1:43" outlineLevel="1" x14ac:dyDescent="0.25">
      <c r="C53" s="35"/>
      <c r="E53" s="5"/>
      <c r="F53" s="23"/>
      <c r="G53" s="23"/>
    </row>
    <row r="54" spans="1:43" outlineLevel="1" x14ac:dyDescent="0.25">
      <c r="A54" s="5" t="s">
        <v>220</v>
      </c>
      <c r="B54" s="5"/>
      <c r="C54" s="35"/>
      <c r="D54" s="35"/>
      <c r="E54" s="5"/>
    </row>
    <row r="55" spans="1:43" outlineLevel="1" x14ac:dyDescent="0.25">
      <c r="C55" s="35"/>
      <c r="D55" s="35"/>
      <c r="E55" s="5"/>
      <c r="F55" s="36"/>
      <c r="G55" s="36"/>
    </row>
    <row r="56" spans="1:43" outlineLevel="1" x14ac:dyDescent="0.25">
      <c r="A56" t="s">
        <v>302</v>
      </c>
      <c r="C56" s="129">
        <f>((C27)*C13)/15</f>
        <v>821333.33333333337</v>
      </c>
      <c r="D56" s="129">
        <f>((D27)*D13)/15</f>
        <v>306666.66666666669</v>
      </c>
      <c r="E56" s="33" t="s">
        <v>143</v>
      </c>
    </row>
    <row r="57" spans="1:43" x14ac:dyDescent="0.25">
      <c r="A57" t="s">
        <v>215</v>
      </c>
      <c r="C57" s="129">
        <f>(62500/161)*C13</f>
        <v>119565.21739130435</v>
      </c>
      <c r="D57" s="129">
        <f>(62500/161)*D13</f>
        <v>44642.857142857145</v>
      </c>
      <c r="E57" s="33" t="s">
        <v>143</v>
      </c>
    </row>
    <row r="58" spans="1:43" x14ac:dyDescent="0.25">
      <c r="A58" t="s">
        <v>217</v>
      </c>
      <c r="C58" s="129">
        <f>(31250/161)*C13</f>
        <v>59782.608695652176</v>
      </c>
      <c r="D58" s="129">
        <f>(31250/161)*D13</f>
        <v>22321.428571428572</v>
      </c>
      <c r="E58" s="33" t="s">
        <v>143</v>
      </c>
    </row>
    <row r="59" spans="1:43" x14ac:dyDescent="0.25">
      <c r="A59" t="s">
        <v>296</v>
      </c>
      <c r="C59" s="35">
        <f>SUM(C56:C58)</f>
        <v>1000681.1594202899</v>
      </c>
      <c r="D59" s="35">
        <f>IF(D60&gt;0,D60,SUM(D56:D58))</f>
        <v>373630.95238095243</v>
      </c>
      <c r="E59" s="5" t="s">
        <v>143</v>
      </c>
    </row>
    <row r="60" spans="1:43" x14ac:dyDescent="0.25">
      <c r="A60" t="s">
        <v>298</v>
      </c>
      <c r="C60" s="35"/>
      <c r="D60" s="147"/>
      <c r="E60" s="5" t="s">
        <v>143</v>
      </c>
    </row>
    <row r="61" spans="1:43" x14ac:dyDescent="0.25">
      <c r="C61" s="35"/>
      <c r="D61" s="148"/>
      <c r="E61" s="5"/>
    </row>
    <row r="62" spans="1:43" x14ac:dyDescent="0.25">
      <c r="A62" t="s">
        <v>297</v>
      </c>
      <c r="C62" s="35">
        <f>C59/C13</f>
        <v>3248.9648033126296</v>
      </c>
      <c r="D62" s="35">
        <f>D59/D13</f>
        <v>3248.96480331263</v>
      </c>
      <c r="E62" s="5" t="s">
        <v>143</v>
      </c>
    </row>
    <row r="63" spans="1:43" x14ac:dyDescent="0.25">
      <c r="C63" s="35"/>
      <c r="D63" s="35"/>
      <c r="E63" s="5"/>
    </row>
    <row r="64" spans="1:43" x14ac:dyDescent="0.25">
      <c r="C64" s="35"/>
      <c r="D64" s="35"/>
      <c r="E64" s="5"/>
    </row>
    <row r="65" spans="1:12" x14ac:dyDescent="0.25">
      <c r="A65" t="s">
        <v>274</v>
      </c>
      <c r="C65" s="129">
        <f t="shared" ref="C65:C70" si="5">C43/$C$13</f>
        <v>0</v>
      </c>
      <c r="D65" s="129">
        <f t="shared" ref="D65:D70" si="6">D43/$D$13</f>
        <v>0</v>
      </c>
      <c r="E65" s="33" t="s">
        <v>195</v>
      </c>
    </row>
    <row r="66" spans="1:12" x14ac:dyDescent="0.25">
      <c r="A66" t="s">
        <v>275</v>
      </c>
      <c r="C66" s="129">
        <f t="shared" si="5"/>
        <v>14610.38961038961</v>
      </c>
      <c r="D66" s="129">
        <f t="shared" si="6"/>
        <v>13043.478260869566</v>
      </c>
      <c r="E66" s="33" t="s">
        <v>195</v>
      </c>
    </row>
    <row r="67" spans="1:12" x14ac:dyDescent="0.25">
      <c r="A67" t="s">
        <v>276</v>
      </c>
      <c r="C67" s="129">
        <f t="shared" si="5"/>
        <v>68305.335968379441</v>
      </c>
      <c r="D67" s="129">
        <f t="shared" si="6"/>
        <v>71739.130434782608</v>
      </c>
      <c r="E67" s="33" t="s">
        <v>195</v>
      </c>
    </row>
    <row r="68" spans="1:12" x14ac:dyDescent="0.25">
      <c r="A68" t="s">
        <v>277</v>
      </c>
      <c r="C68" s="129">
        <f t="shared" si="5"/>
        <v>71600</v>
      </c>
      <c r="D68" s="129">
        <f t="shared" si="6"/>
        <v>71600</v>
      </c>
      <c r="E68" s="33" t="s">
        <v>195</v>
      </c>
    </row>
    <row r="69" spans="1:12" x14ac:dyDescent="0.25">
      <c r="A69" t="s">
        <v>278</v>
      </c>
      <c r="C69" s="129">
        <f t="shared" si="5"/>
        <v>15451.572557876905</v>
      </c>
      <c r="D69" s="129">
        <f t="shared" si="6"/>
        <v>15638.260869565218</v>
      </c>
      <c r="E69" s="33" t="s">
        <v>195</v>
      </c>
    </row>
    <row r="70" spans="1:12" x14ac:dyDescent="0.25">
      <c r="A70" t="s">
        <v>279</v>
      </c>
      <c r="C70" s="129">
        <f t="shared" si="5"/>
        <v>-5155.2693664952722</v>
      </c>
      <c r="D70" s="129">
        <f t="shared" si="6"/>
        <v>-5942.7721561214257</v>
      </c>
      <c r="E70" s="33" t="s">
        <v>195</v>
      </c>
    </row>
    <row r="71" spans="1:12" x14ac:dyDescent="0.25">
      <c r="A71" t="s">
        <v>273</v>
      </c>
      <c r="C71" s="129">
        <f>(C49/C13)+C25</f>
        <v>164812.02877015067</v>
      </c>
      <c r="D71" s="129">
        <f>(D49/D13)+D25</f>
        <v>166078.09740909596</v>
      </c>
      <c r="E71" s="33" t="s">
        <v>195</v>
      </c>
    </row>
    <row r="72" spans="1:12" x14ac:dyDescent="0.25">
      <c r="A72" t="s">
        <v>235</v>
      </c>
      <c r="C72" s="129">
        <f>C79*C75*-1</f>
        <v>303348.11691113125</v>
      </c>
      <c r="D72" s="129">
        <f>D79*D75*-1</f>
        <v>304929.65902340319</v>
      </c>
      <c r="E72" s="33" t="s">
        <v>195</v>
      </c>
      <c r="H72" s="107" t="s">
        <v>85</v>
      </c>
      <c r="I72" s="146" t="s">
        <v>39</v>
      </c>
      <c r="J72" s="146" t="s">
        <v>65</v>
      </c>
      <c r="K72" s="146" t="s">
        <v>66</v>
      </c>
      <c r="L72" s="146" t="s">
        <v>86</v>
      </c>
    </row>
    <row r="73" spans="1:12" x14ac:dyDescent="0.25">
      <c r="A73" t="s">
        <v>236</v>
      </c>
      <c r="C73" s="129">
        <f>((C77*-1)*C75/C13)-C71</f>
        <v>41067.144041601714</v>
      </c>
      <c r="D73" s="129">
        <f>((D77*-1)*D75/D13)-D71</f>
        <v>41382.617514928308</v>
      </c>
      <c r="E73" s="33" t="s">
        <v>195</v>
      </c>
      <c r="F73" s="36"/>
      <c r="G73" s="36"/>
      <c r="H73" s="108" t="s">
        <v>88</v>
      </c>
      <c r="I73" s="146">
        <v>25</v>
      </c>
      <c r="J73" s="146">
        <v>50</v>
      </c>
      <c r="K73" s="146">
        <v>100</v>
      </c>
      <c r="L73" s="146" t="s">
        <v>295</v>
      </c>
    </row>
    <row r="74" spans="1:12" x14ac:dyDescent="0.25">
      <c r="D74" s="36"/>
      <c r="E74" s="5"/>
      <c r="H74" s="108" t="s">
        <v>89</v>
      </c>
      <c r="I74" s="146">
        <v>60</v>
      </c>
      <c r="J74" s="146">
        <v>120</v>
      </c>
      <c r="K74" s="146">
        <v>240</v>
      </c>
      <c r="L74" s="146" t="s">
        <v>295</v>
      </c>
    </row>
    <row r="75" spans="1:12" x14ac:dyDescent="0.25">
      <c r="A75" s="5" t="s">
        <v>213</v>
      </c>
      <c r="B75" s="5"/>
      <c r="C75">
        <f>D75</f>
        <v>30</v>
      </c>
      <c r="D75" s="25">
        <v>30</v>
      </c>
      <c r="E75" t="s">
        <v>14</v>
      </c>
      <c r="H75" s="108" t="s">
        <v>92</v>
      </c>
      <c r="I75" s="146">
        <v>20</v>
      </c>
      <c r="J75" s="146">
        <v>20</v>
      </c>
      <c r="K75" s="146">
        <v>20</v>
      </c>
      <c r="L75" s="146" t="s">
        <v>295</v>
      </c>
    </row>
    <row r="76" spans="1:12" x14ac:dyDescent="0.25">
      <c r="A76" t="s">
        <v>74</v>
      </c>
      <c r="C76" s="38">
        <f>D76</f>
        <v>1.4999999999999999E-2</v>
      </c>
      <c r="D76" s="39">
        <v>1.4999999999999999E-2</v>
      </c>
      <c r="I76" s="28"/>
      <c r="J76" s="28"/>
      <c r="K76" s="28"/>
    </row>
    <row r="77" spans="1:12" x14ac:dyDescent="0.25">
      <c r="A77" t="s">
        <v>224</v>
      </c>
      <c r="C77" s="40">
        <f>PMT(C76,C75,C49)</f>
        <v>-2113692.8408673247</v>
      </c>
      <c r="D77" s="40">
        <f>PMT(D76,D75,D49)</f>
        <v>-795266.07387542643</v>
      </c>
      <c r="E77" t="s">
        <v>75</v>
      </c>
      <c r="F77" s="36"/>
      <c r="G77" s="36"/>
    </row>
    <row r="78" spans="1:12" x14ac:dyDescent="0.25">
      <c r="A78" t="s">
        <v>76</v>
      </c>
      <c r="C78" s="40">
        <f>PMT(C76,C75,(C49-C46))</f>
        <v>-1195432.1499734458</v>
      </c>
      <c r="D78" s="40">
        <f>PMT(D76,D75,(D49-D46))</f>
        <v>-452408.99772998458</v>
      </c>
      <c r="E78" t="s">
        <v>75</v>
      </c>
      <c r="F78" s="36"/>
      <c r="G78" s="36"/>
    </row>
    <row r="79" spans="1:12" x14ac:dyDescent="0.25">
      <c r="A79" t="s">
        <v>221</v>
      </c>
      <c r="C79" s="40">
        <f>(C77/C13)-C62</f>
        <v>-10111.603897037709</v>
      </c>
      <c r="D79" s="40">
        <f>(D77/D13)-D62</f>
        <v>-10164.321967446773</v>
      </c>
      <c r="E79" t="s">
        <v>75</v>
      </c>
      <c r="F79" s="36"/>
      <c r="G79" s="36"/>
    </row>
    <row r="80" spans="1:12" x14ac:dyDescent="0.25">
      <c r="A80" t="s">
        <v>77</v>
      </c>
      <c r="C80" s="40">
        <f>C78/C13</f>
        <v>-3881.2732141994993</v>
      </c>
      <c r="D80" s="40">
        <f>D78/D13</f>
        <v>-3933.9912846085617</v>
      </c>
      <c r="E80" t="s">
        <v>75</v>
      </c>
    </row>
    <row r="81" spans="1:5" x14ac:dyDescent="0.25">
      <c r="D81" s="36"/>
    </row>
    <row r="82" spans="1:5" x14ac:dyDescent="0.25">
      <c r="A82" s="5" t="s">
        <v>78</v>
      </c>
      <c r="B82" s="5"/>
    </row>
    <row r="83" spans="1:5" x14ac:dyDescent="0.25">
      <c r="A83" t="s">
        <v>79</v>
      </c>
    </row>
    <row r="84" spans="1:5" x14ac:dyDescent="0.25">
      <c r="A84" t="s">
        <v>80</v>
      </c>
      <c r="C84" s="32">
        <f t="shared" ref="C84:C89" si="7">D84</f>
        <v>1.0588235294117647</v>
      </c>
      <c r="D84" s="32">
        <f t="shared" ref="D84:D89" si="8">(D16/J18)/K18</f>
        <v>1.0588235294117647</v>
      </c>
      <c r="E84" t="s">
        <v>36</v>
      </c>
    </row>
    <row r="85" spans="1:5" x14ac:dyDescent="0.25">
      <c r="A85" t="s">
        <v>81</v>
      </c>
      <c r="C85" s="32">
        <f t="shared" si="7"/>
        <v>0.79051383399209485</v>
      </c>
      <c r="D85" s="32">
        <f t="shared" si="8"/>
        <v>0.79051383399209485</v>
      </c>
      <c r="E85" t="s">
        <v>36</v>
      </c>
    </row>
    <row r="86" spans="1:5" x14ac:dyDescent="0.25">
      <c r="A86" t="s">
        <v>82</v>
      </c>
      <c r="C86" s="32">
        <f t="shared" si="7"/>
        <v>0.68065796937039136</v>
      </c>
      <c r="D86" s="32">
        <f t="shared" si="8"/>
        <v>0.68065796937039136</v>
      </c>
      <c r="E86" t="s">
        <v>36</v>
      </c>
    </row>
    <row r="87" spans="1:5" x14ac:dyDescent="0.25">
      <c r="A87" t="s">
        <v>12</v>
      </c>
      <c r="C87" s="32">
        <f t="shared" si="7"/>
        <v>0.3666666666666667</v>
      </c>
      <c r="D87" s="32">
        <f t="shared" si="8"/>
        <v>0.3666666666666667</v>
      </c>
      <c r="E87" t="s">
        <v>36</v>
      </c>
    </row>
    <row r="88" spans="1:5" x14ac:dyDescent="0.25">
      <c r="A88" t="s">
        <v>33</v>
      </c>
      <c r="C88" s="32">
        <f t="shared" si="7"/>
        <v>1.1000000000000001</v>
      </c>
      <c r="D88" s="32">
        <f t="shared" si="8"/>
        <v>1.1000000000000001</v>
      </c>
      <c r="E88" t="s">
        <v>36</v>
      </c>
    </row>
    <row r="89" spans="1:5" x14ac:dyDescent="0.25">
      <c r="A89" t="s">
        <v>15</v>
      </c>
      <c r="C89" s="32">
        <f t="shared" si="7"/>
        <v>0.7</v>
      </c>
      <c r="D89" s="32">
        <f t="shared" si="8"/>
        <v>0.7</v>
      </c>
      <c r="E89" t="s">
        <v>36</v>
      </c>
    </row>
    <row r="90" spans="1:5" x14ac:dyDescent="0.25">
      <c r="A90" t="s">
        <v>83</v>
      </c>
      <c r="C90" s="32">
        <f>C88/C31</f>
        <v>0.27500000000000002</v>
      </c>
      <c r="D90" s="32">
        <f>D88/D31</f>
        <v>0.27500000000000002</v>
      </c>
      <c r="E90" t="s">
        <v>36</v>
      </c>
    </row>
    <row r="92" spans="1:5" x14ac:dyDescent="0.25">
      <c r="A92" s="5" t="s">
        <v>84</v>
      </c>
      <c r="B92" s="5"/>
    </row>
    <row r="93" spans="1:5" ht="16.149999999999999" customHeight="1" x14ac:dyDescent="0.25">
      <c r="A93" t="s">
        <v>80</v>
      </c>
      <c r="C93" s="23">
        <f t="shared" ref="C93:D98" si="9">C84*C7*$D$30*1000</f>
        <v>741176.47058823542</v>
      </c>
      <c r="D93" s="23">
        <f t="shared" si="9"/>
        <v>635294.1176470588</v>
      </c>
      <c r="E93" t="s">
        <v>9</v>
      </c>
    </row>
    <row r="94" spans="1:5" x14ac:dyDescent="0.25">
      <c r="A94" t="s">
        <v>81</v>
      </c>
      <c r="C94" s="23">
        <f t="shared" si="9"/>
        <v>2940711.4624505928</v>
      </c>
      <c r="D94" s="23">
        <f t="shared" si="9"/>
        <v>1343873.5177865613</v>
      </c>
      <c r="E94" t="s">
        <v>9</v>
      </c>
    </row>
    <row r="95" spans="1:5" x14ac:dyDescent="0.25">
      <c r="A95" t="s">
        <v>82</v>
      </c>
      <c r="C95" s="23">
        <f t="shared" si="9"/>
        <v>95292.115711854785</v>
      </c>
      <c r="D95" s="23">
        <f t="shared" si="9"/>
        <v>0</v>
      </c>
      <c r="E95" t="s">
        <v>9</v>
      </c>
    </row>
    <row r="96" spans="1:5" x14ac:dyDescent="0.25">
      <c r="A96" t="s">
        <v>12</v>
      </c>
      <c r="C96" s="23">
        <f t="shared" si="9"/>
        <v>198000</v>
      </c>
      <c r="D96" s="23">
        <f t="shared" si="9"/>
        <v>0</v>
      </c>
      <c r="E96" t="s">
        <v>9</v>
      </c>
    </row>
    <row r="97" spans="1:5" x14ac:dyDescent="0.25">
      <c r="A97" t="s">
        <v>33</v>
      </c>
      <c r="C97" s="23">
        <f t="shared" si="9"/>
        <v>1166000</v>
      </c>
      <c r="D97" s="23">
        <f t="shared" si="9"/>
        <v>0</v>
      </c>
      <c r="E97" t="s">
        <v>9</v>
      </c>
    </row>
    <row r="98" spans="1:5" x14ac:dyDescent="0.25">
      <c r="A98" t="s">
        <v>15</v>
      </c>
      <c r="C98" s="23">
        <f t="shared" si="9"/>
        <v>0</v>
      </c>
      <c r="D98" s="23">
        <f t="shared" si="9"/>
        <v>0</v>
      </c>
      <c r="E98" t="s">
        <v>9</v>
      </c>
    </row>
    <row r="99" spans="1:5" x14ac:dyDescent="0.25">
      <c r="A99" t="s">
        <v>87</v>
      </c>
      <c r="C99" s="23">
        <f>SUM(C93:C98)</f>
        <v>5141180.0487506827</v>
      </c>
      <c r="D99" s="23">
        <f>SUM(D93:D98)</f>
        <v>1979167.6354336201</v>
      </c>
      <c r="E99" t="s">
        <v>9</v>
      </c>
    </row>
    <row r="101" spans="1:5" x14ac:dyDescent="0.25">
      <c r="A101" t="s">
        <v>90</v>
      </c>
      <c r="C101">
        <f>D101</f>
        <v>4</v>
      </c>
      <c r="D101">
        <f>D31</f>
        <v>4</v>
      </c>
      <c r="E101" t="s">
        <v>91</v>
      </c>
    </row>
    <row r="102" spans="1:5" x14ac:dyDescent="0.25">
      <c r="A102" t="s">
        <v>93</v>
      </c>
      <c r="C102" s="23">
        <f>(C30*1000*C13*C19)/C101</f>
        <v>1694000.0000000002</v>
      </c>
      <c r="D102" s="23">
        <f>(D30*1000*D13*D19)/D101</f>
        <v>632500</v>
      </c>
      <c r="E102" t="s">
        <v>9</v>
      </c>
    </row>
    <row r="103" spans="1:5" x14ac:dyDescent="0.25">
      <c r="A103" t="s">
        <v>223</v>
      </c>
      <c r="C103" s="23">
        <f>C99-C102</f>
        <v>3447180.0487506827</v>
      </c>
      <c r="D103" s="23">
        <f>D99-D102</f>
        <v>1346667.6354336201</v>
      </c>
      <c r="E103" t="s">
        <v>9</v>
      </c>
    </row>
    <row r="104" spans="1:5" x14ac:dyDescent="0.25">
      <c r="A104" s="41" t="s">
        <v>94</v>
      </c>
      <c r="B104" s="41"/>
      <c r="C104" s="23">
        <f>C103+(C79*C13)</f>
        <v>332806.04846306844</v>
      </c>
      <c r="D104" s="23">
        <f>D103+(D79*D13)</f>
        <v>177770.6091772411</v>
      </c>
      <c r="E104" t="s">
        <v>9</v>
      </c>
    </row>
    <row r="105" spans="1:5" x14ac:dyDescent="0.25">
      <c r="A105" t="s">
        <v>225</v>
      </c>
      <c r="C105" s="23">
        <f>C103/C13</f>
        <v>11192.143015424295</v>
      </c>
      <c r="D105" s="23">
        <f>D103/D13</f>
        <v>11710.153351596697</v>
      </c>
      <c r="E105" t="s">
        <v>9</v>
      </c>
    </row>
    <row r="106" spans="1:5" x14ac:dyDescent="0.25">
      <c r="A106" s="41" t="s">
        <v>95</v>
      </c>
      <c r="B106" s="41"/>
      <c r="C106" s="23">
        <f>C104/C13</f>
        <v>1080.5391183865859</v>
      </c>
      <c r="D106" s="23">
        <f>D104/D13</f>
        <v>1545.8313841499225</v>
      </c>
      <c r="E106" t="s">
        <v>9</v>
      </c>
    </row>
    <row r="108" spans="1:5" x14ac:dyDescent="0.25">
      <c r="A108" s="5" t="s">
        <v>96</v>
      </c>
      <c r="B108" s="5"/>
    </row>
    <row r="109" spans="1:5" x14ac:dyDescent="0.25">
      <c r="A109" t="s">
        <v>97</v>
      </c>
      <c r="C109" s="23">
        <f>SUM(N18:N23)/1000</f>
        <v>992.10997442455266</v>
      </c>
      <c r="D109" s="23">
        <f>SUM(O18:O23)/1000</f>
        <v>457.97097186700773</v>
      </c>
      <c r="E109" t="s">
        <v>16</v>
      </c>
    </row>
  </sheetData>
  <sheetProtection algorithmName="SHA-512" hashValue="ZWet2TF5sSTTEeKrftD8TpO5+IiNQryAW5TUE04MSuCsFAVmm/jbvLF7tnkLU43A4RMlfJDgyojSBtFKOI6DtA==" saltValue="LbLqjPdEBbHn0CkWYFcCKQ==" spinCount="100000" sheet="1" objects="1" scenarios="1"/>
  <protectedRanges>
    <protectedRange sqref="D75:D76" name="Område9"/>
    <protectedRange sqref="B4:C4" name="Område3"/>
    <protectedRange sqref="D7:D12" name="Område2"/>
    <protectedRange sqref="B7:B12" name="Område1"/>
    <protectedRange sqref="D16:D21" name="Område4"/>
    <protectedRange sqref="D24:D27" name="Område5"/>
    <protectedRange sqref="D30:D33" name="Område6"/>
    <protectedRange sqref="D50" name="Område7"/>
    <protectedRange sqref="D60" name="Område8"/>
  </protectedRanges>
  <dataValidations xWindow="937" yWindow="566" count="18">
    <dataValidation type="whole" allowBlank="1" showInputMessage="1" showErrorMessage="1" promptTitle="Tilslutningsbidrag" prompt="Skriv her beløbet på tilslutningsbidraget pr husstand for at blive en del af landbyvarmekonceptet, som foreningen ønsker/er blevet enige om. Kan typisk variere mellem 0 og 50.000 kr. Jo højere tilslutningsbidrag jo lavere årlig omkostning fremadrettet. " sqref="D25" xr:uid="{FC79C1BF-D171-4F65-9E00-5E76DFBC651E}">
      <formula1>0</formula1>
      <formula2>100000</formula2>
    </dataValidation>
    <dataValidation type="decimal" allowBlank="1" showInputMessage="1" showErrorMessage="1" promptTitle="Brændselspris" prompt="Her indtastes byens middelpris for fjernvarme._x000a_Kendes denne ikke, henvises der til hjemmesiden for byens fjernvarmeselskab." sqref="D21" xr:uid="{BFBA614E-0A5B-432F-ABAE-95BEDA06A623}">
      <formula1>0.2</formula1>
      <formula2>2</formula2>
    </dataValidation>
    <dataValidation type="decimal" allowBlank="1" showInputMessage="1" showErrorMessage="1" promptTitle="Brændselspris" prompt="Her indtastes byens middelpris for træ." sqref="D18" xr:uid="{3B032B2D-9025-428E-89A1-7AF9E4D89901}">
      <formula1>0</formula1>
      <formula2>5</formula2>
    </dataValidation>
    <dataValidation type="decimal" allowBlank="1" showInputMessage="1" showErrorMessage="1" promptTitle="Brændselspris" prompt="Her indtastes byens middelpris for gas._x000a_Kendes denne ikke, henvises der til følgende oversigtsside:_x000a_http://gasprisguiden.dk/" sqref="D17" xr:uid="{3D97D357-0998-4C73-B650-20EDBE7F8EE2}">
      <formula1>5</formula1>
      <formula2>15</formula2>
    </dataValidation>
    <dataValidation type="decimal" allowBlank="1" showInputMessage="1" showErrorMessage="1" promptTitle="Brændselspris" prompt="Her indtastes byens middelpris for fyringsolie._x000a_Kendes denne ikke, henvises der til følgende oversigtsside:_x000a_https://fyringsolie-online.dk/" sqref="D16" xr:uid="{C0193FAE-88F3-4D65-A7D6-1F3D0424EB55}">
      <formula1>5</formula1>
      <formula2>15</formula2>
    </dataValidation>
    <dataValidation type="decimal" allowBlank="1" showInputMessage="1" showErrorMessage="1" promptTitle="Elpris for el til varme" prompt="El til varme giver afgiftsgodtgørelse, de eksakte værdier for dette kan findes på SKAT's hjemmeside._x000a__x000a_Alternativt kan 1,1 kr./kWh EL benyttes, da det er den landsdækkende standardpris for år 2019." sqref="D19 D20" xr:uid="{D29BEFD0-C40F-4214-B488-78CBB326F82A}">
      <formula1>0.5</formula1>
      <formula2>3</formula2>
    </dataValidation>
    <dataValidation type="whole" allowBlank="1" showInputMessage="1" showErrorMessage="1" errorTitle="Ugyldig værdi indtastet" promptTitle="Bør kun udfyldes af sagkyndig!" prompt="OBS! Dette felt beskriver, hvor meget et boringspar kan yde og er afhængig af undergrunden. Derfor bør feltet KUN udfyldes af en sagkyndig!_x000a_Feltet SKAL efterlades tomt hvis denne værdi ikke kendes! Hvorpå 50 m³/h anvendes som standard." sqref="D33" xr:uid="{C3855842-E98E-4EA6-8937-EBEE7D9C4902}">
      <formula1>10</formula1>
      <formula2>100</formula2>
    </dataValidation>
    <dataValidation type="whole" operator="lessThanOrEqual" allowBlank="1" showInputMessage="1" showErrorMessage="1" errorTitle="For højt antal husstande" error="Deltagende husstande skal være mindre eller lig byens husstande" promptTitle="Deltagende husstande" prompt="Her indtastes det antal huse med hver forsyningsart der kunne tænke sig at kobles på landsbyvarme med ATES." sqref="D7:D12" xr:uid="{C53924D2-C796-4787-8206-477D1613AED6}">
      <formula1>C7</formula1>
    </dataValidation>
    <dataValidation type="list" allowBlank="1" showInputMessage="1" showErrorMessage="1" sqref="D32" xr:uid="{1930F60A-47F2-423E-8B08-74354BFFD690}">
      <formula1>$H$34:$H$35</formula1>
    </dataValidation>
    <dataValidation type="list" allowBlank="1" showInputMessage="1" showErrorMessage="1" sqref="D31" xr:uid="{7FC5970B-360C-49B3-8C06-A049507BCEBC}">
      <formula1>$I$40:$I$42</formula1>
    </dataValidation>
    <dataValidation type="list" allowBlank="1" showInputMessage="1" showErrorMessage="1" sqref="D30" xr:uid="{C9CBD605-9984-4D36-BFDB-2AFBA249B133}">
      <formula1>$H$40:$H$42</formula1>
    </dataValidation>
    <dataValidation type="list" allowBlank="1" showInputMessage="1" showErrorMessage="1" sqref="D24" xr:uid="{3612554A-BC7D-469D-82D0-26AB8DC605E6}">
      <formula1>$H$37:$H$39</formula1>
    </dataValidation>
    <dataValidation type="whole" allowBlank="1" showInputMessage="1" showErrorMessage="1" promptTitle="Reinvestering i Varmepumpe år 15" prompt="Skriv her beløbet på investering pr varmepumpe som det vurderes at koste pr husstand for at lave en total udskiftning af varmepumpen. Vil typisk variere mellem 25.000 og 50.000 kr. inkl moms " sqref="D27" xr:uid="{FE68EC5A-EA86-430A-B3D5-C534AE121464}">
      <formula1>10000</formula1>
      <formula2>100000</formula2>
    </dataValidation>
    <dataValidation type="whole" allowBlank="1" showInputMessage="1" showErrorMessage="1" promptTitle="investering i VP inkl install " prompt="Skriv her beløbet på hvad en væske/væske varmepumpe inkl install koster. Ligger typisk mellem 60000 og 90.000 kr. afhængig af størrelse og kompleksitet af installationen. " sqref="D26" xr:uid="{116D1142-2306-4117-A1AE-A57BEEA9E6BD}">
      <formula1>40000</formula1>
      <formula2>125000</formula2>
    </dataValidation>
    <dataValidation type="list" allowBlank="1" showInputMessage="1" showErrorMessage="1" sqref="C4" xr:uid="{177F5138-06AB-43A6-965B-09A145AE8373}">
      <formula1>$O$26:$O$30</formula1>
    </dataValidation>
    <dataValidation allowBlank="1" showInputMessage="1" showErrorMessage="1" promptTitle="Byens Husstande" prompt="Her indtastes det antal husstande i byen der har Olie, Gas, Bio-kedel, Varmepumper, Elvarme eller fjernvarme som forsyningsart._x000a_Disse kan forespørges hos kommunen." sqref="B7:C12" xr:uid="{ACC158DC-552C-4382-A26D-3A70ED56E587}"/>
    <dataValidation allowBlank="1" showInputMessage="1" showErrorMessage="1" promptTitle="Revideret/tilbudsprojelktsum" prompt="Hvis I selv har fået indhentet tilbud på ovenstående linjer kan I indtaste projektsummen her så vil beregningsarket bruge den værdi videre i kalkulationerne. _x000a_Hvis I lader feltet være blank, så bruger den projektbudgetpriserne for ovenstående celle" sqref="D50:D51" xr:uid="{05790272-2588-44EE-B163-B66C2AE82786}"/>
    <dataValidation allowBlank="1" showInputMessage="1" showErrorMessage="1" promptTitle="Revideret/tilbud på D&amp;V" prompt="Hvis I selv har fået indhentet tilbud på ovenstående linjer kan I indtaste projektsummen her så vil beregningsarket bruge den værdi videre i kalkulationerne. _x000a_Hvis I lader feltet være blank, så bruger den projektbudgetpriserne for ovenstående celle" sqref="D60:D61" xr:uid="{0049B665-F5D5-4FB0-951A-21A0FF6B3EB8}"/>
  </dataValidations>
  <hyperlinks>
    <hyperlink ref="A32" r:id="rId1" xr:uid="{3361CF6A-7570-48E3-966A-D9F6FC6450CA}"/>
    <hyperlink ref="H46" r:id="rId2" display="her" xr:uid="{4A03FC38-C209-4B5E-B018-DBBBC8C2EA19}"/>
  </hyperlinks>
  <pageMargins left="0.7" right="0.7" top="0.75" bottom="0.75" header="0.3" footer="0.3"/>
  <pageSetup paperSize="9" orientation="portrait" r:id="rId3"/>
  <drawing r:id="rId4"/>
  <legacyDrawing r:id="rId5"/>
  <oleObjects>
    <mc:AlternateContent xmlns:mc="http://schemas.openxmlformats.org/markup-compatibility/2006">
      <mc:Choice Requires="x14">
        <oleObject progId="Visio.Drawing.15" shapeId="1026" r:id="rId6">
          <objectPr defaultSize="0" autoPict="0" r:id="rId7">
            <anchor moveWithCells="1">
              <from>
                <xdr:col>7</xdr:col>
                <xdr:colOff>19050</xdr:colOff>
                <xdr:row>48</xdr:row>
                <xdr:rowOff>57150</xdr:rowOff>
              </from>
              <to>
                <xdr:col>7</xdr:col>
                <xdr:colOff>2390775</xdr:colOff>
                <xdr:row>59</xdr:row>
                <xdr:rowOff>47625</xdr:rowOff>
              </to>
            </anchor>
          </objectPr>
        </oleObject>
      </mc:Choice>
      <mc:Fallback>
        <oleObject progId="Visio.Drawing.15" shapeId="1026" r:id="rId6"/>
      </mc:Fallback>
    </mc:AlternateContent>
    <mc:AlternateContent xmlns:mc="http://schemas.openxmlformats.org/markup-compatibility/2006">
      <mc:Choice Requires="x14">
        <oleObject progId="Visio.Drawing.15" shapeId="1027" r:id="rId8">
          <objectPr defaultSize="0" autoPict="0" r:id="rId9">
            <anchor moveWithCells="1">
              <from>
                <xdr:col>7</xdr:col>
                <xdr:colOff>2447925</xdr:colOff>
                <xdr:row>48</xdr:row>
                <xdr:rowOff>76200</xdr:rowOff>
              </from>
              <to>
                <xdr:col>8</xdr:col>
                <xdr:colOff>1000125</xdr:colOff>
                <xdr:row>65</xdr:row>
                <xdr:rowOff>104775</xdr:rowOff>
              </to>
            </anchor>
          </objectPr>
        </oleObject>
      </mc:Choice>
      <mc:Fallback>
        <oleObject progId="Visio.Drawing.15" shapeId="1027" r:id="rId8"/>
      </mc:Fallback>
    </mc:AlternateContent>
    <mc:AlternateContent xmlns:mc="http://schemas.openxmlformats.org/markup-compatibility/2006">
      <mc:Choice Requires="x14">
        <oleObject progId="Visio.Drawing.15" shapeId="1048" r:id="rId10">
          <objectPr defaultSize="0" autoPict="0" r:id="rId11">
            <anchor moveWithCells="1">
              <from>
                <xdr:col>9</xdr:col>
                <xdr:colOff>161925</xdr:colOff>
                <xdr:row>48</xdr:row>
                <xdr:rowOff>76200</xdr:rowOff>
              </from>
              <to>
                <xdr:col>14</xdr:col>
                <xdr:colOff>476250</xdr:colOff>
                <xdr:row>70</xdr:row>
                <xdr:rowOff>114300</xdr:rowOff>
              </to>
            </anchor>
          </objectPr>
        </oleObject>
      </mc:Choice>
      <mc:Fallback>
        <oleObject progId="Visio.Drawing.15" shapeId="1048" r:id="rId1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33704-384F-473A-A37C-D291F150130B}">
  <dimension ref="A1:R247"/>
  <sheetViews>
    <sheetView zoomScale="80" zoomScaleNormal="80" workbookViewId="0">
      <selection activeCell="G26" sqref="G26"/>
    </sheetView>
  </sheetViews>
  <sheetFormatPr defaultRowHeight="15" outlineLevelRow="1" x14ac:dyDescent="0.25"/>
  <cols>
    <col min="1" max="1" width="44.5703125" customWidth="1"/>
    <col min="2" max="2" width="16.28515625" bestFit="1" customWidth="1"/>
    <col min="3" max="3" width="10.28515625" bestFit="1" customWidth="1"/>
    <col min="4" max="5" width="12" bestFit="1" customWidth="1"/>
    <col min="6" max="6" width="11.7109375" bestFit="1" customWidth="1"/>
    <col min="7" max="7" width="11.42578125" bestFit="1" customWidth="1"/>
    <col min="8" max="8" width="12" bestFit="1" customWidth="1"/>
    <col min="9" max="9" width="13.28515625" bestFit="1" customWidth="1"/>
    <col min="10" max="10" width="16.5703125" customWidth="1"/>
    <col min="11" max="11" width="24" customWidth="1"/>
    <col min="12" max="12" width="15" customWidth="1"/>
    <col min="13" max="13" width="7" customWidth="1"/>
    <col min="16" max="16" width="30.5703125" bestFit="1" customWidth="1"/>
  </cols>
  <sheetData>
    <row r="1" spans="1:14" ht="23.25" x14ac:dyDescent="0.35">
      <c r="A1" s="154" t="s">
        <v>98</v>
      </c>
      <c r="B1" s="154"/>
      <c r="C1" s="154"/>
      <c r="D1" s="154"/>
      <c r="E1" s="154"/>
      <c r="F1" s="154"/>
    </row>
    <row r="3" spans="1:14" ht="19.5" thickBot="1" x14ac:dyDescent="0.35">
      <c r="A3" s="42" t="s">
        <v>99</v>
      </c>
      <c r="B3" t="s">
        <v>100</v>
      </c>
      <c r="C3" t="s">
        <v>4</v>
      </c>
      <c r="E3" s="5" t="s">
        <v>101</v>
      </c>
      <c r="F3" s="5"/>
      <c r="G3" s="5"/>
      <c r="H3" t="s">
        <v>102</v>
      </c>
      <c r="K3" s="5" t="s">
        <v>103</v>
      </c>
      <c r="L3" t="s">
        <v>104</v>
      </c>
      <c r="M3" t="s">
        <v>105</v>
      </c>
      <c r="N3" s="43" t="s">
        <v>106</v>
      </c>
    </row>
    <row r="4" spans="1:14" x14ac:dyDescent="0.25">
      <c r="A4" t="s">
        <v>107</v>
      </c>
      <c r="B4" s="44">
        <v>20</v>
      </c>
      <c r="C4" t="s">
        <v>50</v>
      </c>
      <c r="E4" s="6" t="s">
        <v>294</v>
      </c>
      <c r="F4" s="7"/>
      <c r="G4" s="7"/>
      <c r="H4" s="45">
        <v>1.91</v>
      </c>
      <c r="I4" s="8" t="s">
        <v>108</v>
      </c>
      <c r="K4" t="str">
        <f>B22</f>
        <v>Gl oliefyr</v>
      </c>
      <c r="L4" s="46"/>
      <c r="M4" t="s">
        <v>109</v>
      </c>
    </row>
    <row r="5" spans="1:14" x14ac:dyDescent="0.25">
      <c r="A5" t="s">
        <v>110</v>
      </c>
      <c r="B5" s="47">
        <v>0</v>
      </c>
      <c r="C5" t="s">
        <v>111</v>
      </c>
      <c r="E5" s="48" t="s">
        <v>112</v>
      </c>
      <c r="F5" s="49"/>
      <c r="G5" s="49"/>
      <c r="H5" s="50">
        <f>0.65*1.25</f>
        <v>0.8125</v>
      </c>
      <c r="I5" s="51" t="s">
        <v>108</v>
      </c>
      <c r="K5" t="str">
        <f>C22</f>
        <v>Gl Gasfyr</v>
      </c>
      <c r="L5" s="46"/>
      <c r="M5" t="s">
        <v>109</v>
      </c>
    </row>
    <row r="6" spans="1:14" ht="15" customHeight="1" x14ac:dyDescent="0.25">
      <c r="A6" t="s">
        <v>113</v>
      </c>
      <c r="B6" s="47">
        <v>0.05</v>
      </c>
      <c r="C6" t="s">
        <v>111</v>
      </c>
      <c r="E6" s="52"/>
      <c r="F6" s="49"/>
      <c r="G6" s="49"/>
      <c r="H6" s="49"/>
      <c r="I6" s="51"/>
      <c r="K6" t="str">
        <f>D22</f>
        <v>Nyt Oliefyr</v>
      </c>
      <c r="L6" s="53">
        <f>((5900*7.45)/15)*(B4/2200*1000)</f>
        <v>26639.393939393936</v>
      </c>
      <c r="M6" t="s">
        <v>109</v>
      </c>
    </row>
    <row r="7" spans="1:14" x14ac:dyDescent="0.25">
      <c r="A7" t="s">
        <v>114</v>
      </c>
      <c r="B7" s="54">
        <v>15</v>
      </c>
      <c r="C7" t="s">
        <v>14</v>
      </c>
      <c r="E7" s="55" t="s">
        <v>115</v>
      </c>
      <c r="F7" s="49"/>
      <c r="G7" s="49"/>
      <c r="H7" s="49"/>
      <c r="I7" s="51"/>
      <c r="K7" t="str">
        <f>E22</f>
        <v>Nyt Gasfyr</v>
      </c>
      <c r="L7" s="46">
        <f>((3100*7.45)/10)*(B4/2200*1000)</f>
        <v>20995.454545454544</v>
      </c>
      <c r="M7" t="s">
        <v>109</v>
      </c>
    </row>
    <row r="8" spans="1:14" x14ac:dyDescent="0.25">
      <c r="A8" t="s">
        <v>116</v>
      </c>
      <c r="B8" s="47">
        <v>0</v>
      </c>
      <c r="C8" t="s">
        <v>117</v>
      </c>
      <c r="E8" s="48" t="s">
        <v>80</v>
      </c>
      <c r="F8" s="49"/>
      <c r="G8" s="49"/>
      <c r="H8" s="56">
        <v>9</v>
      </c>
      <c r="I8" s="51" t="s">
        <v>118</v>
      </c>
      <c r="K8" t="str">
        <f>F22</f>
        <v>indv. V/V VP</v>
      </c>
      <c r="L8" s="46">
        <f>((15000*7.45)/10)*(B4/2200*1000)</f>
        <v>101590.90909090907</v>
      </c>
      <c r="M8" t="s">
        <v>109</v>
      </c>
    </row>
    <row r="9" spans="1:14" x14ac:dyDescent="0.25">
      <c r="A9" t="s">
        <v>119</v>
      </c>
      <c r="B9" s="47">
        <v>0.25</v>
      </c>
      <c r="C9" t="s">
        <v>117</v>
      </c>
      <c r="E9" s="48" t="s">
        <v>81</v>
      </c>
      <c r="F9" s="49"/>
      <c r="G9" s="49"/>
      <c r="H9" s="56">
        <v>8</v>
      </c>
      <c r="I9" s="51" t="s">
        <v>120</v>
      </c>
      <c r="K9" t="str">
        <f>G22</f>
        <v>indv. L/V VP</v>
      </c>
      <c r="L9" s="46">
        <f>((9400*7.45)/10)*(B4/2200*1000)</f>
        <v>63663.63636363636</v>
      </c>
      <c r="M9" t="s">
        <v>109</v>
      </c>
    </row>
    <row r="10" spans="1:14" x14ac:dyDescent="0.25">
      <c r="E10" s="48" t="s">
        <v>82</v>
      </c>
      <c r="F10" s="49"/>
      <c r="G10" s="49"/>
      <c r="H10" s="56">
        <v>2.4</v>
      </c>
      <c r="I10" s="51" t="s">
        <v>29</v>
      </c>
      <c r="K10" t="str">
        <f>H22</f>
        <v>indv. L/L VP</v>
      </c>
      <c r="L10" s="46">
        <f>((1700*7.45)/4)*(B4/2200*1000)</f>
        <v>28784.090909090904</v>
      </c>
      <c r="M10" t="s">
        <v>109</v>
      </c>
    </row>
    <row r="11" spans="1:14" x14ac:dyDescent="0.25">
      <c r="B11" s="17"/>
      <c r="E11" s="48" t="s">
        <v>15</v>
      </c>
      <c r="F11" s="49"/>
      <c r="G11" s="49"/>
      <c r="H11" s="56">
        <v>0.7</v>
      </c>
      <c r="I11" s="51" t="s">
        <v>108</v>
      </c>
      <c r="K11" t="str">
        <f>I22</f>
        <v>indv.Træpiller</v>
      </c>
      <c r="L11" s="57">
        <f>((6800*7.45)/10)*(B4/2200*1000)</f>
        <v>46054.545454545449</v>
      </c>
      <c r="M11" t="s">
        <v>109</v>
      </c>
    </row>
    <row r="12" spans="1:14" ht="15.75" thickBot="1" x14ac:dyDescent="0.3">
      <c r="B12" s="58"/>
      <c r="E12" s="59" t="s">
        <v>121</v>
      </c>
      <c r="F12" s="60"/>
      <c r="G12" s="60"/>
      <c r="H12" s="145">
        <f>H19</f>
        <v>1.0974999999999999</v>
      </c>
      <c r="I12" s="61" t="s">
        <v>108</v>
      </c>
      <c r="K12" t="str">
        <f>J22</f>
        <v>Fjernvarme</v>
      </c>
      <c r="L12" s="46">
        <f>((1900*7.45)/10)*(B4/2200*1000)</f>
        <v>12868.181818181816</v>
      </c>
      <c r="M12" t="s">
        <v>109</v>
      </c>
    </row>
    <row r="13" spans="1:14" x14ac:dyDescent="0.25">
      <c r="B13" s="58"/>
      <c r="K13" t="str">
        <f>K22</f>
        <v>Fælles ATES + V/V VP</v>
      </c>
      <c r="L13" s="46">
        <f>Fællesindtastning!D25*0.8</f>
        <v>0</v>
      </c>
      <c r="M13" t="s">
        <v>122</v>
      </c>
    </row>
    <row r="14" spans="1:14" ht="15.75" thickBot="1" x14ac:dyDescent="0.3">
      <c r="B14" s="58"/>
      <c r="K14" t="s">
        <v>216</v>
      </c>
      <c r="L14" s="46">
        <f>((B11))</f>
        <v>0</v>
      </c>
    </row>
    <row r="15" spans="1:14" x14ac:dyDescent="0.25">
      <c r="A15" s="155" t="str">
        <f>"Bemærk at efter "&amp;B7&amp;" år skal alle varmekilder udskiftet - undtagen for Fællesanlægget med ATES, her er husstandens fremtidige varmepumpe allerede betalt igennem ydelsen"</f>
        <v>Bemærk at efter 15 år skal alle varmekilder udskiftet - undtagen for Fællesanlægget med ATES, her er husstandens fremtidige varmepumpe allerede betalt igennem ydelsen</v>
      </c>
      <c r="B15" s="156"/>
      <c r="E15" s="6" t="s">
        <v>123</v>
      </c>
      <c r="F15" s="161" t="s">
        <v>124</v>
      </c>
      <c r="G15" s="161"/>
      <c r="H15" s="161" t="s">
        <v>125</v>
      </c>
      <c r="I15" s="162"/>
    </row>
    <row r="16" spans="1:14" x14ac:dyDescent="0.25">
      <c r="A16" s="157"/>
      <c r="B16" s="158"/>
      <c r="E16" s="52" t="s">
        <v>7</v>
      </c>
      <c r="F16" s="49">
        <v>10</v>
      </c>
      <c r="G16" s="49" t="s">
        <v>126</v>
      </c>
      <c r="H16" s="49">
        <f>H8/F16</f>
        <v>0.9</v>
      </c>
      <c r="I16" s="51" t="s">
        <v>108</v>
      </c>
      <c r="L16" s="58"/>
    </row>
    <row r="17" spans="1:12" ht="15.75" thickBot="1" x14ac:dyDescent="0.3">
      <c r="A17" s="159"/>
      <c r="B17" s="160"/>
      <c r="E17" s="52" t="s">
        <v>127</v>
      </c>
      <c r="F17" s="49">
        <v>11</v>
      </c>
      <c r="G17" s="49" t="s">
        <v>128</v>
      </c>
      <c r="H17" s="62">
        <f>H9/F17</f>
        <v>0.72727272727272729</v>
      </c>
      <c r="I17" s="51" t="s">
        <v>108</v>
      </c>
    </row>
    <row r="18" spans="1:12" x14ac:dyDescent="0.25">
      <c r="E18" s="63" t="s">
        <v>129</v>
      </c>
      <c r="F18" s="49">
        <v>4.3</v>
      </c>
      <c r="G18" s="49" t="s">
        <v>130</v>
      </c>
      <c r="H18" s="62">
        <f>H10/F18</f>
        <v>0.55813953488372092</v>
      </c>
      <c r="I18" s="51" t="s">
        <v>108</v>
      </c>
    </row>
    <row r="19" spans="1:12" ht="15.75" thickBot="1" x14ac:dyDescent="0.3">
      <c r="E19" s="64" t="s">
        <v>131</v>
      </c>
      <c r="F19" s="60">
        <v>1</v>
      </c>
      <c r="G19" s="60" t="s">
        <v>132</v>
      </c>
      <c r="H19" s="65">
        <f>H4-H5</f>
        <v>1.0974999999999999</v>
      </c>
      <c r="I19" s="61" t="s">
        <v>108</v>
      </c>
    </row>
    <row r="21" spans="1:12" ht="21" x14ac:dyDescent="0.35">
      <c r="A21" s="66" t="s">
        <v>133</v>
      </c>
      <c r="B21" s="130"/>
      <c r="C21" s="130"/>
      <c r="D21" s="130"/>
      <c r="E21" s="130"/>
      <c r="F21" s="130"/>
      <c r="G21" s="130"/>
      <c r="H21" s="130"/>
      <c r="I21" s="130"/>
    </row>
    <row r="22" spans="1:12" ht="15.75" thickBot="1" x14ac:dyDescent="0.3">
      <c r="A22" s="67" t="s">
        <v>134</v>
      </c>
      <c r="B22" s="68" t="s">
        <v>135</v>
      </c>
      <c r="C22" s="68" t="s">
        <v>136</v>
      </c>
      <c r="D22" s="68" t="s">
        <v>137</v>
      </c>
      <c r="E22" s="68" t="s">
        <v>138</v>
      </c>
      <c r="F22" s="68" t="s">
        <v>226</v>
      </c>
      <c r="G22" s="68" t="s">
        <v>227</v>
      </c>
      <c r="H22" s="68" t="s">
        <v>228</v>
      </c>
      <c r="I22" s="68" t="s">
        <v>229</v>
      </c>
      <c r="J22" s="68" t="s">
        <v>15</v>
      </c>
      <c r="K22" s="68" t="s">
        <v>139</v>
      </c>
      <c r="L22" s="68" t="s">
        <v>86</v>
      </c>
    </row>
    <row r="23" spans="1:12" ht="15.75" thickTop="1" x14ac:dyDescent="0.25">
      <c r="A23" s="69" t="s">
        <v>140</v>
      </c>
      <c r="B23" s="70">
        <f>L4</f>
        <v>0</v>
      </c>
      <c r="C23" s="70">
        <f>L5</f>
        <v>0</v>
      </c>
      <c r="D23" s="70">
        <f>L6</f>
        <v>26639.393939393936</v>
      </c>
      <c r="E23" s="70">
        <f>L7</f>
        <v>20995.454545454544</v>
      </c>
      <c r="F23" s="70">
        <f>L8</f>
        <v>101590.90909090907</v>
      </c>
      <c r="G23" s="70">
        <f>L9</f>
        <v>63663.63636363636</v>
      </c>
      <c r="H23" s="70">
        <f>L10</f>
        <v>28784.090909090904</v>
      </c>
      <c r="I23" s="70">
        <f>L11</f>
        <v>46054.545454545449</v>
      </c>
      <c r="J23" s="70">
        <f>L12</f>
        <v>12868.181818181816</v>
      </c>
      <c r="K23" s="70">
        <f>IF(L14&gt;0,L14,L13)</f>
        <v>0</v>
      </c>
      <c r="L23" s="71" t="s">
        <v>41</v>
      </c>
    </row>
    <row r="24" spans="1:12" x14ac:dyDescent="0.25">
      <c r="A24" s="72" t="s">
        <v>141</v>
      </c>
      <c r="B24" s="73">
        <f>($H$16*0.8)</f>
        <v>0.72000000000000008</v>
      </c>
      <c r="C24" s="74">
        <f>($H$17*0.8)</f>
        <v>0.5818181818181819</v>
      </c>
      <c r="D24" s="73">
        <f>B24</f>
        <v>0.72000000000000008</v>
      </c>
      <c r="E24" s="74">
        <f>C24</f>
        <v>0.5818181818181819</v>
      </c>
      <c r="F24" s="74">
        <f>($H$19*0.8)</f>
        <v>0.878</v>
      </c>
      <c r="G24" s="74">
        <f>($H$19*0.8)</f>
        <v>0.878</v>
      </c>
      <c r="H24" s="74">
        <f>($H$19*0.8)</f>
        <v>0.878</v>
      </c>
      <c r="I24" s="74">
        <f>($H$18*0.8)</f>
        <v>0.44651162790697674</v>
      </c>
      <c r="J24" s="73">
        <f>H11*0.8</f>
        <v>0.55999999999999994</v>
      </c>
      <c r="K24" s="74">
        <f>($H$19*0.8)</f>
        <v>0.878</v>
      </c>
      <c r="L24" s="75" t="s">
        <v>108</v>
      </c>
    </row>
    <row r="25" spans="1:12" x14ac:dyDescent="0.25">
      <c r="A25" s="76" t="s">
        <v>142</v>
      </c>
      <c r="B25" s="77">
        <v>1000</v>
      </c>
      <c r="C25" s="77">
        <v>1000</v>
      </c>
      <c r="D25" s="77">
        <v>1000</v>
      </c>
      <c r="E25" s="77">
        <v>1000</v>
      </c>
      <c r="F25" s="77">
        <v>1000</v>
      </c>
      <c r="G25" s="77">
        <v>1000</v>
      </c>
      <c r="H25" s="77">
        <v>1000</v>
      </c>
      <c r="I25" s="77">
        <v>1000</v>
      </c>
      <c r="J25" s="77">
        <v>2240</v>
      </c>
      <c r="K25" s="23">
        <f>-(Fællesindtastning!D79*0.8/(Fællesindtastning!D30))*Privatøkonomi!B4</f>
        <v>8131.4575739574184</v>
      </c>
      <c r="L25" s="78" t="s">
        <v>143</v>
      </c>
    </row>
    <row r="26" spans="1:12" x14ac:dyDescent="0.25">
      <c r="A26" s="76" t="s">
        <v>144</v>
      </c>
      <c r="B26" s="77">
        <f>D26</f>
        <v>1830</v>
      </c>
      <c r="C26" s="77">
        <f>E26</f>
        <v>1537.5</v>
      </c>
      <c r="D26" s="77">
        <f>244*7.5</f>
        <v>1830</v>
      </c>
      <c r="E26" s="77">
        <f>205*7.5</f>
        <v>1537.5</v>
      </c>
      <c r="F26" s="77">
        <f>278*7.5</f>
        <v>2085</v>
      </c>
      <c r="G26" s="77">
        <f>278*7.5</f>
        <v>2085</v>
      </c>
      <c r="H26" s="77">
        <f>162*7.5</f>
        <v>1215</v>
      </c>
      <c r="I26" s="77">
        <f>504*7.5</f>
        <v>3780</v>
      </c>
      <c r="J26" s="77">
        <v>500</v>
      </c>
      <c r="K26" s="77">
        <v>2000</v>
      </c>
      <c r="L26" s="78" t="s">
        <v>143</v>
      </c>
    </row>
    <row r="27" spans="1:12" x14ac:dyDescent="0.25">
      <c r="A27" s="79" t="s">
        <v>238</v>
      </c>
      <c r="B27" s="80">
        <v>80</v>
      </c>
      <c r="C27" s="80">
        <v>90</v>
      </c>
      <c r="D27" s="80">
        <v>92</v>
      </c>
      <c r="E27" s="80">
        <v>97</v>
      </c>
      <c r="F27" s="80">
        <v>370</v>
      </c>
      <c r="G27" s="80">
        <v>305</v>
      </c>
      <c r="H27" s="80">
        <v>200</v>
      </c>
      <c r="I27" s="80">
        <v>82</v>
      </c>
      <c r="J27" s="80">
        <v>100</v>
      </c>
      <c r="K27" s="73">
        <f>Fællesindtastning!D31*100</f>
        <v>400</v>
      </c>
      <c r="L27" s="75" t="s">
        <v>117</v>
      </c>
    </row>
    <row r="28" spans="1:12" x14ac:dyDescent="0.25">
      <c r="A28" s="81" t="s">
        <v>145</v>
      </c>
      <c r="B28" s="32">
        <f t="shared" ref="B28:K28" si="0">B24/B27*100</f>
        <v>0.90000000000000013</v>
      </c>
      <c r="C28" s="32">
        <f t="shared" si="0"/>
        <v>0.64646464646464652</v>
      </c>
      <c r="D28" s="32">
        <f t="shared" si="0"/>
        <v>0.78260869565217395</v>
      </c>
      <c r="E28" s="32">
        <f t="shared" si="0"/>
        <v>0.59981255857544524</v>
      </c>
      <c r="F28" s="32">
        <f t="shared" si="0"/>
        <v>0.23729729729729732</v>
      </c>
      <c r="G28" s="32">
        <f t="shared" si="0"/>
        <v>0.28786885245901639</v>
      </c>
      <c r="H28" s="32">
        <f t="shared" si="0"/>
        <v>0.439</v>
      </c>
      <c r="I28" s="32">
        <f t="shared" si="0"/>
        <v>0.54452637549631311</v>
      </c>
      <c r="J28" s="32">
        <f t="shared" si="0"/>
        <v>0.55999999999999994</v>
      </c>
      <c r="K28" s="32">
        <f t="shared" si="0"/>
        <v>0.2195</v>
      </c>
      <c r="L28" s="82" t="s">
        <v>36</v>
      </c>
    </row>
    <row r="29" spans="1:12" ht="21" x14ac:dyDescent="0.35">
      <c r="A29" s="83" t="s">
        <v>146</v>
      </c>
      <c r="B29" s="83"/>
      <c r="C29" s="83"/>
      <c r="D29" s="83"/>
      <c r="E29" s="83"/>
      <c r="F29" s="83"/>
      <c r="G29" s="83"/>
      <c r="H29" s="83"/>
      <c r="I29" s="83"/>
      <c r="J29" s="83"/>
      <c r="K29" s="83"/>
      <c r="L29" s="83"/>
    </row>
    <row r="30" spans="1:12" ht="15.75" thickBot="1" x14ac:dyDescent="0.3">
      <c r="A30" s="67" t="s">
        <v>134</v>
      </c>
      <c r="B30" s="68" t="str">
        <f>B22</f>
        <v>Gl oliefyr</v>
      </c>
      <c r="C30" s="68" t="str">
        <f t="shared" ref="C30:L30" si="1">C22</f>
        <v>Gl Gasfyr</v>
      </c>
      <c r="D30" s="68" t="str">
        <f t="shared" si="1"/>
        <v>Nyt Oliefyr</v>
      </c>
      <c r="E30" s="68" t="str">
        <f t="shared" si="1"/>
        <v>Nyt Gasfyr</v>
      </c>
      <c r="F30" s="68" t="str">
        <f t="shared" si="1"/>
        <v>indv. V/V VP</v>
      </c>
      <c r="G30" s="68" t="str">
        <f t="shared" si="1"/>
        <v>indv. L/V VP</v>
      </c>
      <c r="H30" s="68" t="str">
        <f t="shared" si="1"/>
        <v>indv. L/L VP</v>
      </c>
      <c r="I30" s="68" t="str">
        <f t="shared" si="1"/>
        <v>indv.Træpiller</v>
      </c>
      <c r="J30" s="68" t="str">
        <f t="shared" si="1"/>
        <v>Fjernvarme</v>
      </c>
      <c r="K30" s="68" t="str">
        <f t="shared" si="1"/>
        <v>Fælles ATES + V/V VP</v>
      </c>
      <c r="L30" s="68" t="str">
        <f t="shared" si="1"/>
        <v>enhed</v>
      </c>
    </row>
    <row r="31" spans="1:12" ht="15.75" thickTop="1" x14ac:dyDescent="0.25">
      <c r="A31" s="69" t="s">
        <v>147</v>
      </c>
      <c r="B31" s="84">
        <f t="shared" ref="B31:K31" si="2">B23*(1+$B$9)</f>
        <v>0</v>
      </c>
      <c r="C31" s="84">
        <f t="shared" si="2"/>
        <v>0</v>
      </c>
      <c r="D31" s="84">
        <f t="shared" si="2"/>
        <v>33299.242424242417</v>
      </c>
      <c r="E31" s="84">
        <f t="shared" si="2"/>
        <v>26244.31818181818</v>
      </c>
      <c r="F31" s="84">
        <f t="shared" si="2"/>
        <v>126988.63636363634</v>
      </c>
      <c r="G31" s="84">
        <f t="shared" si="2"/>
        <v>79579.545454545456</v>
      </c>
      <c r="H31" s="84">
        <f t="shared" si="2"/>
        <v>35980.113636363632</v>
      </c>
      <c r="I31" s="84">
        <f t="shared" si="2"/>
        <v>57568.181818181809</v>
      </c>
      <c r="J31" s="84">
        <f t="shared" si="2"/>
        <v>16085.22727272727</v>
      </c>
      <c r="K31" s="84">
        <f t="shared" si="2"/>
        <v>0</v>
      </c>
      <c r="L31" s="71" t="s">
        <v>41</v>
      </c>
    </row>
    <row r="32" spans="1:12" x14ac:dyDescent="0.25">
      <c r="A32" s="72" t="s">
        <v>23</v>
      </c>
      <c r="B32" s="85">
        <f>B27</f>
        <v>80</v>
      </c>
      <c r="C32" s="85">
        <f t="shared" ref="C32:K32" si="3">C27</f>
        <v>90</v>
      </c>
      <c r="D32" s="85">
        <f t="shared" si="3"/>
        <v>92</v>
      </c>
      <c r="E32" s="85">
        <f t="shared" si="3"/>
        <v>97</v>
      </c>
      <c r="F32" s="85">
        <f t="shared" si="3"/>
        <v>370</v>
      </c>
      <c r="G32" s="85">
        <f>G27</f>
        <v>305</v>
      </c>
      <c r="H32" s="85">
        <f t="shared" si="3"/>
        <v>200</v>
      </c>
      <c r="I32" s="85">
        <f t="shared" si="3"/>
        <v>82</v>
      </c>
      <c r="J32" s="85">
        <f t="shared" si="3"/>
        <v>100</v>
      </c>
      <c r="K32" s="85">
        <f t="shared" si="3"/>
        <v>400</v>
      </c>
      <c r="L32" s="75" t="s">
        <v>117</v>
      </c>
    </row>
    <row r="33" spans="1:12" x14ac:dyDescent="0.25">
      <c r="A33" s="76" t="s">
        <v>148</v>
      </c>
      <c r="B33" s="86">
        <f>(H16*0.8)*(1+$B$9)*(1+$L$16)</f>
        <v>0.90000000000000013</v>
      </c>
      <c r="C33" s="87">
        <f>($H$17*0.8)*(1+$B$9)*(1+$L$16)</f>
        <v>0.7272727272727274</v>
      </c>
      <c r="D33" s="86">
        <f>B33</f>
        <v>0.90000000000000013</v>
      </c>
      <c r="E33" s="87">
        <f>C33</f>
        <v>0.7272727272727274</v>
      </c>
      <c r="F33" s="87">
        <f>($H$19*0.8)*(1+$B$9)*(1+$L$16)</f>
        <v>1.0974999999999999</v>
      </c>
      <c r="G33" s="87">
        <f>F33</f>
        <v>1.0974999999999999</v>
      </c>
      <c r="H33" s="87">
        <f>F33</f>
        <v>1.0974999999999999</v>
      </c>
      <c r="I33" s="87">
        <f>($H$18*0.8)*(1+$B$9)*(1+$L$16)</f>
        <v>0.55813953488372092</v>
      </c>
      <c r="J33" s="87">
        <f>(H11*0.8)*(1+$B$9)*(1+$L$16)</f>
        <v>0.7</v>
      </c>
      <c r="K33" s="87">
        <f>(H12*0.8)*(1+$B$9)*(1+$L$16)</f>
        <v>1.0974999999999999</v>
      </c>
      <c r="L33" s="78" t="s">
        <v>108</v>
      </c>
    </row>
    <row r="34" spans="1:12" x14ac:dyDescent="0.25">
      <c r="A34" s="79" t="s">
        <v>149</v>
      </c>
      <c r="B34" s="88">
        <f t="shared" ref="B34:K34" si="4">$B$5</f>
        <v>0</v>
      </c>
      <c r="C34" s="88">
        <f t="shared" si="4"/>
        <v>0</v>
      </c>
      <c r="D34" s="88">
        <f t="shared" si="4"/>
        <v>0</v>
      </c>
      <c r="E34" s="88">
        <f t="shared" si="4"/>
        <v>0</v>
      </c>
      <c r="F34" s="88">
        <f t="shared" si="4"/>
        <v>0</v>
      </c>
      <c r="G34" s="88">
        <f t="shared" si="4"/>
        <v>0</v>
      </c>
      <c r="H34" s="88">
        <f t="shared" si="4"/>
        <v>0</v>
      </c>
      <c r="I34" s="88">
        <f t="shared" si="4"/>
        <v>0</v>
      </c>
      <c r="J34" s="88">
        <f t="shared" si="4"/>
        <v>0</v>
      </c>
      <c r="K34" s="88">
        <f t="shared" si="4"/>
        <v>0</v>
      </c>
      <c r="L34" s="75" t="s">
        <v>117</v>
      </c>
    </row>
    <row r="35" spans="1:12" x14ac:dyDescent="0.25">
      <c r="A35" s="89" t="s">
        <v>150</v>
      </c>
      <c r="B35" s="90">
        <f t="shared" ref="B35:K35" si="5">$B$4*1000*100/B32</f>
        <v>25000</v>
      </c>
      <c r="C35" s="90">
        <f t="shared" si="5"/>
        <v>22222.222222222223</v>
      </c>
      <c r="D35" s="90">
        <f t="shared" si="5"/>
        <v>21739.130434782608</v>
      </c>
      <c r="E35" s="90">
        <f t="shared" si="5"/>
        <v>20618.556701030928</v>
      </c>
      <c r="F35" s="90">
        <f t="shared" si="5"/>
        <v>5405.405405405405</v>
      </c>
      <c r="G35" s="90">
        <f t="shared" si="5"/>
        <v>6557.377049180328</v>
      </c>
      <c r="H35" s="90">
        <f t="shared" si="5"/>
        <v>10000</v>
      </c>
      <c r="I35" s="90">
        <f t="shared" si="5"/>
        <v>24390.243902439026</v>
      </c>
      <c r="J35" s="90">
        <f t="shared" si="5"/>
        <v>20000</v>
      </c>
      <c r="K35" s="90">
        <f t="shared" si="5"/>
        <v>5000</v>
      </c>
      <c r="L35" s="78" t="s">
        <v>151</v>
      </c>
    </row>
    <row r="36" spans="1:12" x14ac:dyDescent="0.25">
      <c r="A36" s="79" t="s">
        <v>152</v>
      </c>
      <c r="B36" s="91">
        <f t="shared" ref="B36:K36" si="6">B25*(1+$B$9)</f>
        <v>1250</v>
      </c>
      <c r="C36" s="91">
        <f t="shared" si="6"/>
        <v>1250</v>
      </c>
      <c r="D36" s="91">
        <f t="shared" si="6"/>
        <v>1250</v>
      </c>
      <c r="E36" s="91">
        <f t="shared" si="6"/>
        <v>1250</v>
      </c>
      <c r="F36" s="91">
        <f t="shared" si="6"/>
        <v>1250</v>
      </c>
      <c r="G36" s="91">
        <f t="shared" si="6"/>
        <v>1250</v>
      </c>
      <c r="H36" s="91">
        <f t="shared" si="6"/>
        <v>1250</v>
      </c>
      <c r="I36" s="91">
        <f t="shared" si="6"/>
        <v>1250</v>
      </c>
      <c r="J36" s="91">
        <f t="shared" si="6"/>
        <v>2800</v>
      </c>
      <c r="K36" s="91">
        <f t="shared" si="6"/>
        <v>10164.321967446773</v>
      </c>
      <c r="L36" s="75" t="s">
        <v>143</v>
      </c>
    </row>
    <row r="37" spans="1:12" x14ac:dyDescent="0.25">
      <c r="A37" s="76" t="s">
        <v>144</v>
      </c>
      <c r="B37" s="92">
        <f t="shared" ref="B37:K37" si="7">B26*(1+$B$9)</f>
        <v>2287.5</v>
      </c>
      <c r="C37" s="92">
        <f t="shared" si="7"/>
        <v>1921.875</v>
      </c>
      <c r="D37" s="92">
        <f t="shared" si="7"/>
        <v>2287.5</v>
      </c>
      <c r="E37" s="92">
        <f t="shared" si="7"/>
        <v>1921.875</v>
      </c>
      <c r="F37" s="92">
        <f t="shared" si="7"/>
        <v>2606.25</v>
      </c>
      <c r="G37" s="92">
        <f t="shared" si="7"/>
        <v>2606.25</v>
      </c>
      <c r="H37" s="92">
        <f t="shared" si="7"/>
        <v>1518.75</v>
      </c>
      <c r="I37" s="92">
        <f t="shared" si="7"/>
        <v>4725</v>
      </c>
      <c r="J37" s="92">
        <f t="shared" si="7"/>
        <v>625</v>
      </c>
      <c r="K37" s="92">
        <f t="shared" si="7"/>
        <v>2500</v>
      </c>
      <c r="L37" s="75" t="s">
        <v>143</v>
      </c>
    </row>
    <row r="38" spans="1:12" x14ac:dyDescent="0.25">
      <c r="A38" s="72" t="s">
        <v>153</v>
      </c>
      <c r="B38" s="93">
        <v>0</v>
      </c>
      <c r="C38" s="93">
        <v>0</v>
      </c>
      <c r="D38" s="93">
        <v>0</v>
      </c>
      <c r="E38" s="93">
        <v>0</v>
      </c>
      <c r="F38" s="93">
        <v>0</v>
      </c>
      <c r="G38" s="93">
        <v>0</v>
      </c>
      <c r="H38" s="93">
        <v>0</v>
      </c>
      <c r="I38" s="93">
        <v>0</v>
      </c>
      <c r="J38" s="93">
        <v>0</v>
      </c>
      <c r="K38" s="93">
        <v>0</v>
      </c>
      <c r="L38" s="75" t="s">
        <v>143</v>
      </c>
    </row>
    <row r="39" spans="1:12" x14ac:dyDescent="0.25">
      <c r="A39" s="89" t="s">
        <v>154</v>
      </c>
      <c r="B39" s="90">
        <f>(B35*B33)</f>
        <v>22500.000000000004</v>
      </c>
      <c r="C39" s="90">
        <f t="shared" ref="C39:K39" si="8">(C35*C33)</f>
        <v>16161.616161616164</v>
      </c>
      <c r="D39" s="90">
        <f t="shared" si="8"/>
        <v>19565.217391304352</v>
      </c>
      <c r="E39" s="90">
        <f t="shared" si="8"/>
        <v>14995.313964386132</v>
      </c>
      <c r="F39" s="90">
        <f t="shared" si="8"/>
        <v>5932.4324324324316</v>
      </c>
      <c r="G39" s="90">
        <f t="shared" si="8"/>
        <v>7196.7213114754095</v>
      </c>
      <c r="H39" s="90">
        <f t="shared" si="8"/>
        <v>10975</v>
      </c>
      <c r="I39" s="90">
        <f t="shared" si="8"/>
        <v>13613.159387407828</v>
      </c>
      <c r="J39" s="90">
        <f t="shared" si="8"/>
        <v>14000</v>
      </c>
      <c r="K39" s="90">
        <f t="shared" si="8"/>
        <v>5487.5</v>
      </c>
      <c r="L39" s="78" t="s">
        <v>143</v>
      </c>
    </row>
    <row r="40" spans="1:12" x14ac:dyDescent="0.25">
      <c r="A40" s="79" t="str">
        <f>"Energiudgift efter "&amp;$B$7&amp;" års levetid"</f>
        <v>Energiudgift efter 15 års levetid</v>
      </c>
      <c r="B40" s="91">
        <f t="shared" ref="B40:K40" si="9">B39*(1+$B$5)^$B$7</f>
        <v>22500.000000000004</v>
      </c>
      <c r="C40" s="91">
        <f t="shared" si="9"/>
        <v>16161.616161616164</v>
      </c>
      <c r="D40" s="91">
        <f t="shared" si="9"/>
        <v>19565.217391304352</v>
      </c>
      <c r="E40" s="91">
        <f t="shared" si="9"/>
        <v>14995.313964386132</v>
      </c>
      <c r="F40" s="91">
        <f t="shared" si="9"/>
        <v>5932.4324324324316</v>
      </c>
      <c r="G40" s="91">
        <f t="shared" si="9"/>
        <v>7196.7213114754095</v>
      </c>
      <c r="H40" s="91">
        <f t="shared" si="9"/>
        <v>10975</v>
      </c>
      <c r="I40" s="91">
        <f t="shared" si="9"/>
        <v>13613.159387407828</v>
      </c>
      <c r="J40" s="91">
        <f t="shared" si="9"/>
        <v>14000</v>
      </c>
      <c r="K40" s="91">
        <f t="shared" si="9"/>
        <v>5487.5</v>
      </c>
      <c r="L40" s="75" t="s">
        <v>143</v>
      </c>
    </row>
    <row r="41" spans="1:12" x14ac:dyDescent="0.25">
      <c r="A41" s="89" t="str">
        <f>"Ydelse over "&amp;$B$7&amp;" år"</f>
        <v>Ydelse over 15 år</v>
      </c>
      <c r="B41" s="90">
        <f t="shared" ref="B41:K41" si="10">IFERROR(PMT($B$6,$B$7,B31)*-1,0)</f>
        <v>0</v>
      </c>
      <c r="C41" s="90">
        <f t="shared" si="10"/>
        <v>0</v>
      </c>
      <c r="D41" s="90">
        <f t="shared" si="10"/>
        <v>3208.125190806315</v>
      </c>
      <c r="E41" s="90">
        <f t="shared" si="10"/>
        <v>2528.4376503812487</v>
      </c>
      <c r="F41" s="90">
        <f t="shared" si="10"/>
        <v>12234.375727651201</v>
      </c>
      <c r="G41" s="90">
        <f t="shared" si="10"/>
        <v>7666.8754559947547</v>
      </c>
      <c r="H41" s="90">
        <f t="shared" si="10"/>
        <v>3466.4064561678406</v>
      </c>
      <c r="I41" s="90">
        <f t="shared" si="10"/>
        <v>5546.2503298685442</v>
      </c>
      <c r="J41" s="90">
        <f t="shared" si="10"/>
        <v>1549.6875921691521</v>
      </c>
      <c r="K41" s="90">
        <f t="shared" si="10"/>
        <v>0</v>
      </c>
      <c r="L41" s="78" t="s">
        <v>143</v>
      </c>
    </row>
    <row r="42" spans="1:12" x14ac:dyDescent="0.25">
      <c r="A42" s="79"/>
      <c r="B42" s="75"/>
      <c r="C42" s="75"/>
      <c r="D42" s="94"/>
      <c r="E42" s="75"/>
      <c r="F42" s="75"/>
      <c r="G42" s="75"/>
      <c r="H42" s="75"/>
      <c r="I42" s="75"/>
      <c r="J42" s="75"/>
      <c r="K42" s="75"/>
      <c r="L42" s="75"/>
    </row>
    <row r="43" spans="1:12" x14ac:dyDescent="0.25">
      <c r="A43" s="89" t="s">
        <v>230</v>
      </c>
      <c r="B43" s="95">
        <f>B36+B39+B41+B37+B38</f>
        <v>26037.500000000004</v>
      </c>
      <c r="C43" s="95">
        <f t="shared" ref="C43:K43" si="11">C36+C39+C41+C37+C38</f>
        <v>19333.491161616163</v>
      </c>
      <c r="D43" s="95">
        <f t="shared" si="11"/>
        <v>26310.842582110665</v>
      </c>
      <c r="E43" s="95">
        <f t="shared" si="11"/>
        <v>20695.626614767381</v>
      </c>
      <c r="F43" s="95">
        <f t="shared" si="11"/>
        <v>22023.05816008363</v>
      </c>
      <c r="G43" s="95">
        <f t="shared" si="11"/>
        <v>18719.846767470164</v>
      </c>
      <c r="H43" s="95">
        <f t="shared" si="11"/>
        <v>17210.156456167839</v>
      </c>
      <c r="I43" s="95">
        <f t="shared" si="11"/>
        <v>25134.409717276372</v>
      </c>
      <c r="J43" s="95">
        <f t="shared" si="11"/>
        <v>18974.687592169154</v>
      </c>
      <c r="K43" s="95">
        <f t="shared" si="11"/>
        <v>18151.821967446773</v>
      </c>
      <c r="L43" s="78" t="s">
        <v>143</v>
      </c>
    </row>
    <row r="44" spans="1:12" x14ac:dyDescent="0.25">
      <c r="A44" s="79" t="s">
        <v>155</v>
      </c>
      <c r="B44" s="94">
        <f t="shared" ref="B44:K44" si="12">B40+((B36+B37)*(1+$B$5)^$B$7)+B38</f>
        <v>26037.500000000004</v>
      </c>
      <c r="C44" s="94">
        <f t="shared" si="12"/>
        <v>19333.491161616163</v>
      </c>
      <c r="D44" s="94">
        <f t="shared" si="12"/>
        <v>23102.717391304352</v>
      </c>
      <c r="E44" s="94">
        <f t="shared" si="12"/>
        <v>18167.188964386132</v>
      </c>
      <c r="F44" s="94">
        <f t="shared" si="12"/>
        <v>9788.6824324324316</v>
      </c>
      <c r="G44" s="94">
        <f t="shared" si="12"/>
        <v>11052.971311475409</v>
      </c>
      <c r="H44" s="94">
        <f t="shared" si="12"/>
        <v>13743.75</v>
      </c>
      <c r="I44" s="94">
        <f t="shared" si="12"/>
        <v>19588.159387407828</v>
      </c>
      <c r="J44" s="94">
        <f t="shared" si="12"/>
        <v>17425</v>
      </c>
      <c r="K44" s="94">
        <f t="shared" si="12"/>
        <v>18151.821967446773</v>
      </c>
      <c r="L44" s="75" t="s">
        <v>143</v>
      </c>
    </row>
    <row r="45" spans="1:12" x14ac:dyDescent="0.25">
      <c r="A45" s="89" t="s">
        <v>156</v>
      </c>
      <c r="B45" s="78"/>
      <c r="C45" s="95">
        <f>$B$43-C43</f>
        <v>6704.0088383838411</v>
      </c>
      <c r="D45" s="95">
        <f>$B$43-D43</f>
        <v>-273.34258211066117</v>
      </c>
      <c r="E45" s="95">
        <f t="shared" ref="E45:K45" si="13">$B$43-E43</f>
        <v>5341.8733852326222</v>
      </c>
      <c r="F45" s="95">
        <f t="shared" si="13"/>
        <v>4014.4418399163733</v>
      </c>
      <c r="G45" s="95">
        <f>$B$43-G43</f>
        <v>7317.6532325298394</v>
      </c>
      <c r="H45" s="95">
        <f t="shared" si="13"/>
        <v>8827.3435438321649</v>
      </c>
      <c r="I45" s="95">
        <f t="shared" si="13"/>
        <v>903.09028272363139</v>
      </c>
      <c r="J45" s="95">
        <f t="shared" si="13"/>
        <v>7062.8124078308501</v>
      </c>
      <c r="K45" s="95">
        <f t="shared" si="13"/>
        <v>7885.6780325532309</v>
      </c>
      <c r="L45" s="78" t="s">
        <v>143</v>
      </c>
    </row>
    <row r="46" spans="1:12" x14ac:dyDescent="0.25">
      <c r="A46" s="79" t="s">
        <v>157</v>
      </c>
      <c r="B46" s="75"/>
      <c r="C46" s="94">
        <f>$B$44-C44</f>
        <v>6704.0088383838411</v>
      </c>
      <c r="D46" s="94">
        <f>$B$44-D44</f>
        <v>2934.782608695652</v>
      </c>
      <c r="E46" s="94">
        <f t="shared" ref="E46:K46" si="14">$B$44-E44</f>
        <v>7870.3110356138714</v>
      </c>
      <c r="F46" s="94">
        <f t="shared" si="14"/>
        <v>16248.817567567572</v>
      </c>
      <c r="G46" s="94">
        <f t="shared" si="14"/>
        <v>14984.528688524595</v>
      </c>
      <c r="H46" s="94">
        <f t="shared" si="14"/>
        <v>12293.750000000004</v>
      </c>
      <c r="I46" s="94">
        <f t="shared" si="14"/>
        <v>6449.3406125921756</v>
      </c>
      <c r="J46" s="94">
        <f t="shared" si="14"/>
        <v>8612.5000000000036</v>
      </c>
      <c r="K46" s="94">
        <f t="shared" si="14"/>
        <v>7885.6780325532309</v>
      </c>
      <c r="L46" s="75" t="s">
        <v>143</v>
      </c>
    </row>
    <row r="47" spans="1:12" x14ac:dyDescent="0.25">
      <c r="A47" s="89" t="s">
        <v>158</v>
      </c>
      <c r="B47" s="78"/>
      <c r="C47" s="95"/>
      <c r="D47" s="95">
        <f>$B$35-D35</f>
        <v>3260.8695652173919</v>
      </c>
      <c r="E47" s="95">
        <f t="shared" ref="E47:K47" si="15">$B$35-E35</f>
        <v>4381.4432989690722</v>
      </c>
      <c r="F47" s="95">
        <f t="shared" si="15"/>
        <v>19594.594594594593</v>
      </c>
      <c r="G47" s="95">
        <f t="shared" si="15"/>
        <v>18442.62295081967</v>
      </c>
      <c r="H47" s="95">
        <f t="shared" si="15"/>
        <v>15000</v>
      </c>
      <c r="I47" s="95">
        <f t="shared" si="15"/>
        <v>609.75609756097401</v>
      </c>
      <c r="J47" s="95">
        <f t="shared" si="15"/>
        <v>5000</v>
      </c>
      <c r="K47" s="95">
        <f t="shared" si="15"/>
        <v>20000</v>
      </c>
      <c r="L47" s="78" t="s">
        <v>151</v>
      </c>
    </row>
    <row r="48" spans="1:12" x14ac:dyDescent="0.25">
      <c r="A48" s="79" t="s">
        <v>159</v>
      </c>
      <c r="B48" s="75"/>
      <c r="C48" s="94"/>
      <c r="D48" s="94">
        <f>$C$35-D35</f>
        <v>483.09178743961456</v>
      </c>
      <c r="E48" s="94">
        <f t="shared" ref="E48:K48" si="16">$C$35-E35</f>
        <v>1603.6655211912948</v>
      </c>
      <c r="F48" s="94">
        <f t="shared" si="16"/>
        <v>16816.816816816819</v>
      </c>
      <c r="G48" s="94">
        <f t="shared" si="16"/>
        <v>15664.845173041895</v>
      </c>
      <c r="H48" s="94">
        <f t="shared" si="16"/>
        <v>12222.222222222223</v>
      </c>
      <c r="I48" s="94">
        <f t="shared" si="16"/>
        <v>-2168.0216802168034</v>
      </c>
      <c r="J48" s="94">
        <f t="shared" si="16"/>
        <v>2222.2222222222226</v>
      </c>
      <c r="K48" s="94">
        <f t="shared" si="16"/>
        <v>17222.222222222223</v>
      </c>
      <c r="L48" s="75" t="s">
        <v>151</v>
      </c>
    </row>
    <row r="49" spans="1:12" ht="18" x14ac:dyDescent="0.35">
      <c r="A49" s="89" t="s">
        <v>160</v>
      </c>
      <c r="B49" s="78">
        <v>0.26700000000000002</v>
      </c>
      <c r="C49" s="96">
        <v>0.20499999999999999</v>
      </c>
      <c r="D49" s="96">
        <v>0.26700000000000002</v>
      </c>
      <c r="E49" s="96">
        <v>0.20499999999999999</v>
      </c>
      <c r="F49" s="96">
        <v>0.19</v>
      </c>
      <c r="G49" s="96">
        <v>0.19</v>
      </c>
      <c r="H49" s="96">
        <v>0.19</v>
      </c>
      <c r="I49" s="96">
        <v>0.19</v>
      </c>
      <c r="J49" s="96">
        <v>0.09</v>
      </c>
      <c r="K49" s="96">
        <v>0.19</v>
      </c>
      <c r="L49" s="78" t="s">
        <v>161</v>
      </c>
    </row>
    <row r="50" spans="1:12" x14ac:dyDescent="0.25">
      <c r="A50" s="89" t="s">
        <v>280</v>
      </c>
      <c r="B50" s="98">
        <f>B35*B49/1000</f>
        <v>6.6749999999999998</v>
      </c>
      <c r="C50" s="98">
        <f t="shared" ref="C50:K50" si="17">C35*C49/1000</f>
        <v>4.5555555555555554</v>
      </c>
      <c r="D50" s="98">
        <f t="shared" si="17"/>
        <v>5.804347826086957</v>
      </c>
      <c r="E50" s="98">
        <f t="shared" si="17"/>
        <v>4.2268041237113403</v>
      </c>
      <c r="F50" s="98">
        <f t="shared" si="17"/>
        <v>1.0270270270270268</v>
      </c>
      <c r="G50" s="98">
        <f t="shared" si="17"/>
        <v>1.2459016393442623</v>
      </c>
      <c r="H50" s="98">
        <f t="shared" si="17"/>
        <v>1.9</v>
      </c>
      <c r="I50" s="98">
        <f t="shared" si="17"/>
        <v>4.6341463414634152</v>
      </c>
      <c r="J50" s="98">
        <f t="shared" si="17"/>
        <v>1.8</v>
      </c>
      <c r="K50" s="98">
        <f t="shared" si="17"/>
        <v>0.95</v>
      </c>
      <c r="L50" s="75" t="s">
        <v>163</v>
      </c>
    </row>
    <row r="51" spans="1:12" x14ac:dyDescent="0.25">
      <c r="A51" s="79" t="s">
        <v>162</v>
      </c>
      <c r="B51" s="75"/>
      <c r="C51" s="94"/>
      <c r="D51" s="97">
        <f t="shared" ref="D51:K51" si="18">(($B$35*$B$49)-(D35*D49))/1000</f>
        <v>0.87065217391304306</v>
      </c>
      <c r="E51" s="97">
        <f t="shared" si="18"/>
        <v>2.4481958762886595</v>
      </c>
      <c r="F51" s="97">
        <f t="shared" si="18"/>
        <v>5.6479729729729735</v>
      </c>
      <c r="G51" s="97">
        <f t="shared" si="18"/>
        <v>5.429098360655737</v>
      </c>
      <c r="H51" s="97">
        <f t="shared" si="18"/>
        <v>4.7750000000000004</v>
      </c>
      <c r="I51" s="97">
        <f t="shared" si="18"/>
        <v>2.0408536585365846</v>
      </c>
      <c r="J51" s="97">
        <f t="shared" si="18"/>
        <v>4.875</v>
      </c>
      <c r="K51" s="97">
        <f t="shared" si="18"/>
        <v>5.7249999999999996</v>
      </c>
      <c r="L51" s="75" t="s">
        <v>163</v>
      </c>
    </row>
    <row r="52" spans="1:12" x14ac:dyDescent="0.25">
      <c r="A52" s="89" t="s">
        <v>164</v>
      </c>
      <c r="B52" s="78"/>
      <c r="C52" s="95"/>
      <c r="D52" s="98">
        <f t="shared" ref="D52:K52" si="19">(($C$35*$C$49)-(D35*D49))/1000</f>
        <v>-1.2487922705314014</v>
      </c>
      <c r="E52" s="98">
        <f t="shared" si="19"/>
        <v>0.3287514318442154</v>
      </c>
      <c r="F52" s="98">
        <f t="shared" si="19"/>
        <v>3.5285285285285291</v>
      </c>
      <c r="G52" s="98">
        <f t="shared" si="19"/>
        <v>3.309653916211293</v>
      </c>
      <c r="H52" s="98">
        <f t="shared" si="19"/>
        <v>2.6555555555555554</v>
      </c>
      <c r="I52" s="98">
        <f t="shared" si="19"/>
        <v>-7.8590785907859756E-2</v>
      </c>
      <c r="J52" s="98">
        <f t="shared" si="19"/>
        <v>2.7555555555555555</v>
      </c>
      <c r="K52" s="98">
        <f t="shared" si="19"/>
        <v>3.6055555555555556</v>
      </c>
      <c r="L52" s="78" t="s">
        <v>163</v>
      </c>
    </row>
    <row r="54" spans="1:12" hidden="1" outlineLevel="1" x14ac:dyDescent="0.25">
      <c r="A54" s="5" t="s">
        <v>165</v>
      </c>
      <c r="B54" s="99"/>
      <c r="C54" s="99"/>
      <c r="D54" s="99"/>
      <c r="E54" s="99"/>
      <c r="F54" s="99"/>
      <c r="G54" s="99"/>
      <c r="H54" s="99"/>
      <c r="I54" s="99"/>
      <c r="J54" s="99"/>
      <c r="K54" s="99"/>
    </row>
    <row r="55" spans="1:12" hidden="1" outlineLevel="1" x14ac:dyDescent="0.25">
      <c r="A55" t="s">
        <v>166</v>
      </c>
      <c r="B55" s="100">
        <f>B39</f>
        <v>22500.000000000004</v>
      </c>
      <c r="C55" s="100">
        <f>C39</f>
        <v>16161.616161616164</v>
      </c>
      <c r="D55" s="100">
        <f t="shared" ref="D55:K55" si="20">D39</f>
        <v>19565.217391304352</v>
      </c>
      <c r="E55" s="100">
        <f t="shared" si="20"/>
        <v>14995.313964386132</v>
      </c>
      <c r="F55" s="100">
        <f t="shared" si="20"/>
        <v>5932.4324324324316</v>
      </c>
      <c r="G55" s="100">
        <f t="shared" si="20"/>
        <v>7196.7213114754095</v>
      </c>
      <c r="H55" s="100">
        <f t="shared" si="20"/>
        <v>10975</v>
      </c>
      <c r="I55" s="100">
        <f t="shared" si="20"/>
        <v>13613.159387407828</v>
      </c>
      <c r="J55" s="100">
        <f t="shared" si="20"/>
        <v>14000</v>
      </c>
      <c r="K55" s="100">
        <f t="shared" si="20"/>
        <v>5487.5</v>
      </c>
      <c r="L55" t="s">
        <v>143</v>
      </c>
    </row>
    <row r="56" spans="1:12" hidden="1" outlineLevel="1" x14ac:dyDescent="0.25">
      <c r="A56" t="s">
        <v>167</v>
      </c>
      <c r="B56" s="100">
        <f t="shared" ref="B56:B74" si="21">IF($B$7&gt;(ROW(B56)-ROW($B$55)),B55*(1+$B$5),0)</f>
        <v>22500.000000000004</v>
      </c>
      <c r="C56" s="100">
        <f t="shared" ref="C56:C74" si="22">IF($B$7&gt;(ROW(C56)-ROW($B$55)),C55*(1+$B$5),0)</f>
        <v>16161.616161616164</v>
      </c>
      <c r="D56" s="100">
        <f t="shared" ref="D56:D74" si="23">IF($B$7&gt;(ROW(D56)-ROW($B$55)),D55*(1+$B$5),0)</f>
        <v>19565.217391304352</v>
      </c>
      <c r="E56" s="100">
        <f t="shared" ref="E56:E74" si="24">IF($B$7&gt;(ROW(E56)-ROW($B$55)),E55*(1+$B$5),0)</f>
        <v>14995.313964386132</v>
      </c>
      <c r="F56" s="100">
        <f t="shared" ref="F56:F74" si="25">IF($B$7&gt;(ROW(F56)-ROW($B$55)),F55*(1+$B$5),0)</f>
        <v>5932.4324324324316</v>
      </c>
      <c r="G56" s="100">
        <f t="shared" ref="G56:G74" si="26">IF($B$7&gt;(ROW(G56)-ROW($B$55)),G55*(1+$B$5),0)</f>
        <v>7196.7213114754095</v>
      </c>
      <c r="H56" s="100">
        <f t="shared" ref="H56:H74" si="27">IF($B$7&gt;(ROW(H56)-ROW($B$55)),H55*(1+$B$5),0)</f>
        <v>10975</v>
      </c>
      <c r="I56" s="100">
        <f t="shared" ref="I56:I74" si="28">IF($B$7&gt;(ROW(I56)-ROW($B$55)),I55*(1+$B$5),0)</f>
        <v>13613.159387407828</v>
      </c>
      <c r="J56" s="100">
        <f t="shared" ref="J56:J74" si="29">IF($B$7&gt;(ROW(J56)-ROW($B$55)),J55*(1+$B$5),0)</f>
        <v>14000</v>
      </c>
      <c r="K56" s="100">
        <f t="shared" ref="K56:K74" si="30">IF($B$7&gt;(ROW(K56)-ROW($B$55)),K55*(1+$B$5),0)</f>
        <v>5487.5</v>
      </c>
      <c r="L56" t="s">
        <v>143</v>
      </c>
    </row>
    <row r="57" spans="1:12" hidden="1" outlineLevel="1" x14ac:dyDescent="0.25">
      <c r="A57" t="s">
        <v>168</v>
      </c>
      <c r="B57" s="100">
        <f t="shared" si="21"/>
        <v>22500.000000000004</v>
      </c>
      <c r="C57" s="100">
        <f t="shared" si="22"/>
        <v>16161.616161616164</v>
      </c>
      <c r="D57" s="100">
        <f t="shared" si="23"/>
        <v>19565.217391304352</v>
      </c>
      <c r="E57" s="100">
        <f t="shared" si="24"/>
        <v>14995.313964386132</v>
      </c>
      <c r="F57" s="100">
        <f t="shared" si="25"/>
        <v>5932.4324324324316</v>
      </c>
      <c r="G57" s="100">
        <f t="shared" si="26"/>
        <v>7196.7213114754095</v>
      </c>
      <c r="H57" s="100">
        <f t="shared" si="27"/>
        <v>10975</v>
      </c>
      <c r="I57" s="100">
        <f t="shared" si="28"/>
        <v>13613.159387407828</v>
      </c>
      <c r="J57" s="100">
        <f t="shared" si="29"/>
        <v>14000</v>
      </c>
      <c r="K57" s="100">
        <f t="shared" si="30"/>
        <v>5487.5</v>
      </c>
      <c r="L57" t="s">
        <v>143</v>
      </c>
    </row>
    <row r="58" spans="1:12" hidden="1" outlineLevel="1" x14ac:dyDescent="0.25">
      <c r="A58" t="s">
        <v>169</v>
      </c>
      <c r="B58" s="100">
        <f t="shared" si="21"/>
        <v>22500.000000000004</v>
      </c>
      <c r="C58" s="100">
        <f t="shared" si="22"/>
        <v>16161.616161616164</v>
      </c>
      <c r="D58" s="100">
        <f t="shared" si="23"/>
        <v>19565.217391304352</v>
      </c>
      <c r="E58" s="100">
        <f t="shared" si="24"/>
        <v>14995.313964386132</v>
      </c>
      <c r="F58" s="100">
        <f t="shared" si="25"/>
        <v>5932.4324324324316</v>
      </c>
      <c r="G58" s="100">
        <f t="shared" si="26"/>
        <v>7196.7213114754095</v>
      </c>
      <c r="H58" s="100">
        <f t="shared" si="27"/>
        <v>10975</v>
      </c>
      <c r="I58" s="100">
        <f t="shared" si="28"/>
        <v>13613.159387407828</v>
      </c>
      <c r="J58" s="100">
        <f t="shared" si="29"/>
        <v>14000</v>
      </c>
      <c r="K58" s="100">
        <f t="shared" si="30"/>
        <v>5487.5</v>
      </c>
      <c r="L58" t="s">
        <v>143</v>
      </c>
    </row>
    <row r="59" spans="1:12" hidden="1" outlineLevel="1" x14ac:dyDescent="0.25">
      <c r="A59" t="s">
        <v>170</v>
      </c>
      <c r="B59" s="100">
        <f t="shared" si="21"/>
        <v>22500.000000000004</v>
      </c>
      <c r="C59" s="100">
        <f t="shared" si="22"/>
        <v>16161.616161616164</v>
      </c>
      <c r="D59" s="100">
        <f t="shared" si="23"/>
        <v>19565.217391304352</v>
      </c>
      <c r="E59" s="100">
        <f t="shared" si="24"/>
        <v>14995.313964386132</v>
      </c>
      <c r="F59" s="100">
        <f t="shared" si="25"/>
        <v>5932.4324324324316</v>
      </c>
      <c r="G59" s="100">
        <f t="shared" si="26"/>
        <v>7196.7213114754095</v>
      </c>
      <c r="H59" s="100">
        <f t="shared" si="27"/>
        <v>10975</v>
      </c>
      <c r="I59" s="100">
        <f t="shared" si="28"/>
        <v>13613.159387407828</v>
      </c>
      <c r="J59" s="100">
        <f t="shared" si="29"/>
        <v>14000</v>
      </c>
      <c r="K59" s="100">
        <f t="shared" si="30"/>
        <v>5487.5</v>
      </c>
      <c r="L59" t="s">
        <v>143</v>
      </c>
    </row>
    <row r="60" spans="1:12" hidden="1" outlineLevel="1" x14ac:dyDescent="0.25">
      <c r="A60" t="s">
        <v>171</v>
      </c>
      <c r="B60" s="100">
        <f t="shared" si="21"/>
        <v>22500.000000000004</v>
      </c>
      <c r="C60" s="100">
        <f t="shared" si="22"/>
        <v>16161.616161616164</v>
      </c>
      <c r="D60" s="100">
        <f t="shared" si="23"/>
        <v>19565.217391304352</v>
      </c>
      <c r="E60" s="100">
        <f t="shared" si="24"/>
        <v>14995.313964386132</v>
      </c>
      <c r="F60" s="100">
        <f t="shared" si="25"/>
        <v>5932.4324324324316</v>
      </c>
      <c r="G60" s="100">
        <f t="shared" si="26"/>
        <v>7196.7213114754095</v>
      </c>
      <c r="H60" s="100">
        <f t="shared" si="27"/>
        <v>10975</v>
      </c>
      <c r="I60" s="100">
        <f t="shared" si="28"/>
        <v>13613.159387407828</v>
      </c>
      <c r="J60" s="100">
        <f t="shared" si="29"/>
        <v>14000</v>
      </c>
      <c r="K60" s="100">
        <f t="shared" si="30"/>
        <v>5487.5</v>
      </c>
      <c r="L60" t="s">
        <v>143</v>
      </c>
    </row>
    <row r="61" spans="1:12" hidden="1" outlineLevel="1" x14ac:dyDescent="0.25">
      <c r="A61" t="s">
        <v>172</v>
      </c>
      <c r="B61" s="100">
        <f t="shared" si="21"/>
        <v>22500.000000000004</v>
      </c>
      <c r="C61" s="100">
        <f t="shared" si="22"/>
        <v>16161.616161616164</v>
      </c>
      <c r="D61" s="100">
        <f t="shared" si="23"/>
        <v>19565.217391304352</v>
      </c>
      <c r="E61" s="100">
        <f t="shared" si="24"/>
        <v>14995.313964386132</v>
      </c>
      <c r="F61" s="100">
        <f t="shared" si="25"/>
        <v>5932.4324324324316</v>
      </c>
      <c r="G61" s="100">
        <f t="shared" si="26"/>
        <v>7196.7213114754095</v>
      </c>
      <c r="H61" s="100">
        <f t="shared" si="27"/>
        <v>10975</v>
      </c>
      <c r="I61" s="100">
        <f t="shared" si="28"/>
        <v>13613.159387407828</v>
      </c>
      <c r="J61" s="100">
        <f t="shared" si="29"/>
        <v>14000</v>
      </c>
      <c r="K61" s="100">
        <f t="shared" si="30"/>
        <v>5487.5</v>
      </c>
      <c r="L61" t="s">
        <v>143</v>
      </c>
    </row>
    <row r="62" spans="1:12" hidden="1" outlineLevel="1" x14ac:dyDescent="0.25">
      <c r="A62" t="s">
        <v>173</v>
      </c>
      <c r="B62" s="100">
        <f t="shared" si="21"/>
        <v>22500.000000000004</v>
      </c>
      <c r="C62" s="100">
        <f t="shared" si="22"/>
        <v>16161.616161616164</v>
      </c>
      <c r="D62" s="100">
        <f t="shared" si="23"/>
        <v>19565.217391304352</v>
      </c>
      <c r="E62" s="100">
        <f t="shared" si="24"/>
        <v>14995.313964386132</v>
      </c>
      <c r="F62" s="100">
        <f t="shared" si="25"/>
        <v>5932.4324324324316</v>
      </c>
      <c r="G62" s="100">
        <f t="shared" si="26"/>
        <v>7196.7213114754095</v>
      </c>
      <c r="H62" s="100">
        <f t="shared" si="27"/>
        <v>10975</v>
      </c>
      <c r="I62" s="100">
        <f t="shared" si="28"/>
        <v>13613.159387407828</v>
      </c>
      <c r="J62" s="100">
        <f t="shared" si="29"/>
        <v>14000</v>
      </c>
      <c r="K62" s="100">
        <f t="shared" si="30"/>
        <v>5487.5</v>
      </c>
      <c r="L62" t="s">
        <v>143</v>
      </c>
    </row>
    <row r="63" spans="1:12" hidden="1" outlineLevel="1" x14ac:dyDescent="0.25">
      <c r="A63" t="s">
        <v>174</v>
      </c>
      <c r="B63" s="100">
        <f t="shared" si="21"/>
        <v>22500.000000000004</v>
      </c>
      <c r="C63" s="100">
        <f t="shared" si="22"/>
        <v>16161.616161616164</v>
      </c>
      <c r="D63" s="100">
        <f t="shared" si="23"/>
        <v>19565.217391304352</v>
      </c>
      <c r="E63" s="100">
        <f t="shared" si="24"/>
        <v>14995.313964386132</v>
      </c>
      <c r="F63" s="100">
        <f t="shared" si="25"/>
        <v>5932.4324324324316</v>
      </c>
      <c r="G63" s="100">
        <f t="shared" si="26"/>
        <v>7196.7213114754095</v>
      </c>
      <c r="H63" s="100">
        <f t="shared" si="27"/>
        <v>10975</v>
      </c>
      <c r="I63" s="100">
        <f t="shared" si="28"/>
        <v>13613.159387407828</v>
      </c>
      <c r="J63" s="100">
        <f t="shared" si="29"/>
        <v>14000</v>
      </c>
      <c r="K63" s="100">
        <f t="shared" si="30"/>
        <v>5487.5</v>
      </c>
      <c r="L63" t="s">
        <v>143</v>
      </c>
    </row>
    <row r="64" spans="1:12" hidden="1" outlineLevel="1" x14ac:dyDescent="0.25">
      <c r="A64" t="s">
        <v>175</v>
      </c>
      <c r="B64" s="100">
        <f t="shared" si="21"/>
        <v>22500.000000000004</v>
      </c>
      <c r="C64" s="100">
        <f t="shared" si="22"/>
        <v>16161.616161616164</v>
      </c>
      <c r="D64" s="100">
        <f t="shared" si="23"/>
        <v>19565.217391304352</v>
      </c>
      <c r="E64" s="100">
        <f t="shared" si="24"/>
        <v>14995.313964386132</v>
      </c>
      <c r="F64" s="100">
        <f t="shared" si="25"/>
        <v>5932.4324324324316</v>
      </c>
      <c r="G64" s="100">
        <f t="shared" si="26"/>
        <v>7196.7213114754095</v>
      </c>
      <c r="H64" s="100">
        <f t="shared" si="27"/>
        <v>10975</v>
      </c>
      <c r="I64" s="100">
        <f t="shared" si="28"/>
        <v>13613.159387407828</v>
      </c>
      <c r="J64" s="100">
        <f t="shared" si="29"/>
        <v>14000</v>
      </c>
      <c r="K64" s="100">
        <f t="shared" si="30"/>
        <v>5487.5</v>
      </c>
      <c r="L64" t="s">
        <v>143</v>
      </c>
    </row>
    <row r="65" spans="1:12" hidden="1" outlineLevel="1" x14ac:dyDescent="0.25">
      <c r="A65" t="s">
        <v>176</v>
      </c>
      <c r="B65" s="100">
        <f t="shared" si="21"/>
        <v>22500.000000000004</v>
      </c>
      <c r="C65" s="100">
        <f t="shared" si="22"/>
        <v>16161.616161616164</v>
      </c>
      <c r="D65" s="100">
        <f t="shared" si="23"/>
        <v>19565.217391304352</v>
      </c>
      <c r="E65" s="100">
        <f t="shared" si="24"/>
        <v>14995.313964386132</v>
      </c>
      <c r="F65" s="100">
        <f t="shared" si="25"/>
        <v>5932.4324324324316</v>
      </c>
      <c r="G65" s="100">
        <f t="shared" si="26"/>
        <v>7196.7213114754095</v>
      </c>
      <c r="H65" s="100">
        <f t="shared" si="27"/>
        <v>10975</v>
      </c>
      <c r="I65" s="100">
        <f t="shared" si="28"/>
        <v>13613.159387407828</v>
      </c>
      <c r="J65" s="100">
        <f t="shared" si="29"/>
        <v>14000</v>
      </c>
      <c r="K65" s="100">
        <f t="shared" si="30"/>
        <v>5487.5</v>
      </c>
      <c r="L65" t="s">
        <v>143</v>
      </c>
    </row>
    <row r="66" spans="1:12" hidden="1" outlineLevel="1" x14ac:dyDescent="0.25">
      <c r="A66" t="s">
        <v>177</v>
      </c>
      <c r="B66" s="100">
        <f t="shared" si="21"/>
        <v>22500.000000000004</v>
      </c>
      <c r="C66" s="100">
        <f t="shared" si="22"/>
        <v>16161.616161616164</v>
      </c>
      <c r="D66" s="100">
        <f t="shared" si="23"/>
        <v>19565.217391304352</v>
      </c>
      <c r="E66" s="100">
        <f t="shared" si="24"/>
        <v>14995.313964386132</v>
      </c>
      <c r="F66" s="100">
        <f t="shared" si="25"/>
        <v>5932.4324324324316</v>
      </c>
      <c r="G66" s="100">
        <f t="shared" si="26"/>
        <v>7196.7213114754095</v>
      </c>
      <c r="H66" s="100">
        <f t="shared" si="27"/>
        <v>10975</v>
      </c>
      <c r="I66" s="100">
        <f t="shared" si="28"/>
        <v>13613.159387407828</v>
      </c>
      <c r="J66" s="100">
        <f t="shared" si="29"/>
        <v>14000</v>
      </c>
      <c r="K66" s="100">
        <f t="shared" si="30"/>
        <v>5487.5</v>
      </c>
      <c r="L66" t="s">
        <v>143</v>
      </c>
    </row>
    <row r="67" spans="1:12" hidden="1" outlineLevel="1" x14ac:dyDescent="0.25">
      <c r="A67" t="s">
        <v>178</v>
      </c>
      <c r="B67" s="100">
        <f t="shared" si="21"/>
        <v>22500.000000000004</v>
      </c>
      <c r="C67" s="100">
        <f t="shared" si="22"/>
        <v>16161.616161616164</v>
      </c>
      <c r="D67" s="100">
        <f t="shared" si="23"/>
        <v>19565.217391304352</v>
      </c>
      <c r="E67" s="100">
        <f t="shared" si="24"/>
        <v>14995.313964386132</v>
      </c>
      <c r="F67" s="100">
        <f t="shared" si="25"/>
        <v>5932.4324324324316</v>
      </c>
      <c r="G67" s="100">
        <f t="shared" si="26"/>
        <v>7196.7213114754095</v>
      </c>
      <c r="H67" s="100">
        <f t="shared" si="27"/>
        <v>10975</v>
      </c>
      <c r="I67" s="100">
        <f t="shared" si="28"/>
        <v>13613.159387407828</v>
      </c>
      <c r="J67" s="100">
        <f t="shared" si="29"/>
        <v>14000</v>
      </c>
      <c r="K67" s="100">
        <f t="shared" si="30"/>
        <v>5487.5</v>
      </c>
      <c r="L67" t="s">
        <v>143</v>
      </c>
    </row>
    <row r="68" spans="1:12" hidden="1" outlineLevel="1" x14ac:dyDescent="0.25">
      <c r="A68" t="s">
        <v>179</v>
      </c>
      <c r="B68" s="100">
        <f t="shared" si="21"/>
        <v>22500.000000000004</v>
      </c>
      <c r="C68" s="100">
        <f t="shared" si="22"/>
        <v>16161.616161616164</v>
      </c>
      <c r="D68" s="100">
        <f t="shared" si="23"/>
        <v>19565.217391304352</v>
      </c>
      <c r="E68" s="100">
        <f t="shared" si="24"/>
        <v>14995.313964386132</v>
      </c>
      <c r="F68" s="100">
        <f t="shared" si="25"/>
        <v>5932.4324324324316</v>
      </c>
      <c r="G68" s="100">
        <f t="shared" si="26"/>
        <v>7196.7213114754095</v>
      </c>
      <c r="H68" s="100">
        <f t="shared" si="27"/>
        <v>10975</v>
      </c>
      <c r="I68" s="100">
        <f t="shared" si="28"/>
        <v>13613.159387407828</v>
      </c>
      <c r="J68" s="100">
        <f t="shared" si="29"/>
        <v>14000</v>
      </c>
      <c r="K68" s="100">
        <f t="shared" si="30"/>
        <v>5487.5</v>
      </c>
      <c r="L68" t="s">
        <v>143</v>
      </c>
    </row>
    <row r="69" spans="1:12" hidden="1" outlineLevel="1" x14ac:dyDescent="0.25">
      <c r="A69" t="s">
        <v>180</v>
      </c>
      <c r="B69" s="100">
        <f t="shared" si="21"/>
        <v>22500.000000000004</v>
      </c>
      <c r="C69" s="100">
        <f t="shared" si="22"/>
        <v>16161.616161616164</v>
      </c>
      <c r="D69" s="100">
        <f t="shared" si="23"/>
        <v>19565.217391304352</v>
      </c>
      <c r="E69" s="100">
        <f t="shared" si="24"/>
        <v>14995.313964386132</v>
      </c>
      <c r="F69" s="100">
        <f t="shared" si="25"/>
        <v>5932.4324324324316</v>
      </c>
      <c r="G69" s="100">
        <f t="shared" si="26"/>
        <v>7196.7213114754095</v>
      </c>
      <c r="H69" s="100">
        <f t="shared" si="27"/>
        <v>10975</v>
      </c>
      <c r="I69" s="100">
        <f t="shared" si="28"/>
        <v>13613.159387407828</v>
      </c>
      <c r="J69" s="100">
        <f t="shared" si="29"/>
        <v>14000</v>
      </c>
      <c r="K69" s="100">
        <f t="shared" si="30"/>
        <v>5487.5</v>
      </c>
      <c r="L69" t="s">
        <v>143</v>
      </c>
    </row>
    <row r="70" spans="1:12" hidden="1" outlineLevel="1" x14ac:dyDescent="0.25">
      <c r="A70" t="s">
        <v>181</v>
      </c>
      <c r="B70" s="100">
        <f t="shared" si="21"/>
        <v>0</v>
      </c>
      <c r="C70" s="100">
        <f t="shared" si="22"/>
        <v>0</v>
      </c>
      <c r="D70" s="100">
        <f t="shared" si="23"/>
        <v>0</v>
      </c>
      <c r="E70" s="100">
        <f t="shared" si="24"/>
        <v>0</v>
      </c>
      <c r="F70" s="100">
        <f t="shared" si="25"/>
        <v>0</v>
      </c>
      <c r="G70" s="100">
        <f t="shared" si="26"/>
        <v>0</v>
      </c>
      <c r="H70" s="100">
        <f t="shared" si="27"/>
        <v>0</v>
      </c>
      <c r="I70" s="100">
        <f t="shared" si="28"/>
        <v>0</v>
      </c>
      <c r="J70" s="100">
        <f t="shared" si="29"/>
        <v>0</v>
      </c>
      <c r="K70" s="100">
        <f t="shared" si="30"/>
        <v>0</v>
      </c>
      <c r="L70" t="s">
        <v>143</v>
      </c>
    </row>
    <row r="71" spans="1:12" hidden="1" outlineLevel="1" x14ac:dyDescent="0.25">
      <c r="A71" t="s">
        <v>182</v>
      </c>
      <c r="B71" s="100">
        <f t="shared" si="21"/>
        <v>0</v>
      </c>
      <c r="C71" s="100">
        <f t="shared" si="22"/>
        <v>0</v>
      </c>
      <c r="D71" s="100">
        <f t="shared" si="23"/>
        <v>0</v>
      </c>
      <c r="E71" s="100">
        <f t="shared" si="24"/>
        <v>0</v>
      </c>
      <c r="F71" s="100">
        <f t="shared" si="25"/>
        <v>0</v>
      </c>
      <c r="G71" s="100">
        <f t="shared" si="26"/>
        <v>0</v>
      </c>
      <c r="H71" s="100">
        <f t="shared" si="27"/>
        <v>0</v>
      </c>
      <c r="I71" s="100">
        <f t="shared" si="28"/>
        <v>0</v>
      </c>
      <c r="J71" s="100">
        <f t="shared" si="29"/>
        <v>0</v>
      </c>
      <c r="K71" s="100">
        <f t="shared" si="30"/>
        <v>0</v>
      </c>
      <c r="L71" t="s">
        <v>143</v>
      </c>
    </row>
    <row r="72" spans="1:12" hidden="1" outlineLevel="1" x14ac:dyDescent="0.25">
      <c r="A72" t="s">
        <v>183</v>
      </c>
      <c r="B72" s="100">
        <f t="shared" si="21"/>
        <v>0</v>
      </c>
      <c r="C72" s="100">
        <f t="shared" si="22"/>
        <v>0</v>
      </c>
      <c r="D72" s="100">
        <f t="shared" si="23"/>
        <v>0</v>
      </c>
      <c r="E72" s="100">
        <f t="shared" si="24"/>
        <v>0</v>
      </c>
      <c r="F72" s="100">
        <f t="shared" si="25"/>
        <v>0</v>
      </c>
      <c r="G72" s="100">
        <f t="shared" si="26"/>
        <v>0</v>
      </c>
      <c r="H72" s="100">
        <f t="shared" si="27"/>
        <v>0</v>
      </c>
      <c r="I72" s="100">
        <f t="shared" si="28"/>
        <v>0</v>
      </c>
      <c r="J72" s="100">
        <f t="shared" si="29"/>
        <v>0</v>
      </c>
      <c r="K72" s="100">
        <f t="shared" si="30"/>
        <v>0</v>
      </c>
      <c r="L72" t="s">
        <v>143</v>
      </c>
    </row>
    <row r="73" spans="1:12" hidden="1" outlineLevel="1" x14ac:dyDescent="0.25">
      <c r="A73" t="s">
        <v>184</v>
      </c>
      <c r="B73" s="100">
        <f t="shared" si="21"/>
        <v>0</v>
      </c>
      <c r="C73" s="100">
        <f t="shared" si="22"/>
        <v>0</v>
      </c>
      <c r="D73" s="100">
        <f t="shared" si="23"/>
        <v>0</v>
      </c>
      <c r="E73" s="100">
        <f t="shared" si="24"/>
        <v>0</v>
      </c>
      <c r="F73" s="100">
        <f t="shared" si="25"/>
        <v>0</v>
      </c>
      <c r="G73" s="100">
        <f t="shared" si="26"/>
        <v>0</v>
      </c>
      <c r="H73" s="100">
        <f t="shared" si="27"/>
        <v>0</v>
      </c>
      <c r="I73" s="100">
        <f t="shared" si="28"/>
        <v>0</v>
      </c>
      <c r="J73" s="100">
        <f t="shared" si="29"/>
        <v>0</v>
      </c>
      <c r="K73" s="100">
        <f t="shared" si="30"/>
        <v>0</v>
      </c>
      <c r="L73" t="s">
        <v>143</v>
      </c>
    </row>
    <row r="74" spans="1:12" hidden="1" outlineLevel="1" x14ac:dyDescent="0.25">
      <c r="A74" t="s">
        <v>185</v>
      </c>
      <c r="B74" s="100">
        <f t="shared" si="21"/>
        <v>0</v>
      </c>
      <c r="C74" s="100">
        <f t="shared" si="22"/>
        <v>0</v>
      </c>
      <c r="D74" s="100">
        <f t="shared" si="23"/>
        <v>0</v>
      </c>
      <c r="E74" s="100">
        <f t="shared" si="24"/>
        <v>0</v>
      </c>
      <c r="F74" s="100">
        <f t="shared" si="25"/>
        <v>0</v>
      </c>
      <c r="G74" s="100">
        <f t="shared" si="26"/>
        <v>0</v>
      </c>
      <c r="H74" s="100">
        <f t="shared" si="27"/>
        <v>0</v>
      </c>
      <c r="I74" s="100">
        <f t="shared" si="28"/>
        <v>0</v>
      </c>
      <c r="J74" s="100">
        <f t="shared" si="29"/>
        <v>0</v>
      </c>
      <c r="K74" s="100">
        <f t="shared" si="30"/>
        <v>0</v>
      </c>
      <c r="L74" t="s">
        <v>143</v>
      </c>
    </row>
    <row r="75" spans="1:12" hidden="1" outlineLevel="1" x14ac:dyDescent="0.25">
      <c r="A75" s="5" t="s">
        <v>186</v>
      </c>
      <c r="B75" s="101">
        <f>SUM(B55:B74)</f>
        <v>337500.00000000006</v>
      </c>
      <c r="C75" s="101">
        <f t="shared" ref="C75:K75" si="31">SUM(C55:C74)</f>
        <v>242424.24242424252</v>
      </c>
      <c r="D75" s="101">
        <f t="shared" si="31"/>
        <v>293478.2608695653</v>
      </c>
      <c r="E75" s="101">
        <f t="shared" si="31"/>
        <v>224929.70946579194</v>
      </c>
      <c r="F75" s="101">
        <f t="shared" si="31"/>
        <v>88986.486486486465</v>
      </c>
      <c r="G75" s="101">
        <f t="shared" si="31"/>
        <v>107950.81967213117</v>
      </c>
      <c r="H75" s="101">
        <f t="shared" si="31"/>
        <v>164625</v>
      </c>
      <c r="I75" s="101">
        <f t="shared" si="31"/>
        <v>204197.3908111174</v>
      </c>
      <c r="J75" s="101">
        <f t="shared" si="31"/>
        <v>210000</v>
      </c>
      <c r="K75" s="101">
        <f t="shared" si="31"/>
        <v>82312.5</v>
      </c>
      <c r="L75" s="5" t="s">
        <v>187</v>
      </c>
    </row>
    <row r="76" spans="1:12" hidden="1" outlineLevel="1" x14ac:dyDescent="0.25">
      <c r="B76" s="100"/>
    </row>
    <row r="77" spans="1:12" hidden="1" outlineLevel="1" x14ac:dyDescent="0.25">
      <c r="A77" s="5" t="s">
        <v>188</v>
      </c>
    </row>
    <row r="78" spans="1:12" hidden="1" outlineLevel="1" x14ac:dyDescent="0.25">
      <c r="A78" t="s">
        <v>166</v>
      </c>
      <c r="B78" s="100">
        <f>B36+B37+B38</f>
        <v>3537.5</v>
      </c>
      <c r="C78" s="100">
        <f>C36+C37+C38</f>
        <v>3171.875</v>
      </c>
      <c r="D78" s="100">
        <f t="shared" ref="D78:I78" si="32">D36+D37+D38</f>
        <v>3537.5</v>
      </c>
      <c r="E78" s="100">
        <f t="shared" si="32"/>
        <v>3171.875</v>
      </c>
      <c r="F78" s="100">
        <f t="shared" si="32"/>
        <v>3856.25</v>
      </c>
      <c r="G78" s="100">
        <f t="shared" si="32"/>
        <v>3856.25</v>
      </c>
      <c r="H78" s="100">
        <f>H36+H37+H38</f>
        <v>2768.75</v>
      </c>
      <c r="I78" s="100">
        <f t="shared" si="32"/>
        <v>5975</v>
      </c>
      <c r="J78" s="100">
        <f>J36+J37+J38</f>
        <v>3425</v>
      </c>
      <c r="K78" s="100">
        <f>K36+K37+K38</f>
        <v>12664.321967446773</v>
      </c>
      <c r="L78" t="s">
        <v>143</v>
      </c>
    </row>
    <row r="79" spans="1:12" hidden="1" outlineLevel="1" x14ac:dyDescent="0.25">
      <c r="A79" t="s">
        <v>167</v>
      </c>
      <c r="B79" s="100">
        <f t="shared" ref="B79:B97" si="33">IF($B$7&gt;(ROW(B56)-ROW($B$55)),(B78-$B$38)*(1+$B$5)+$B$38,0)</f>
        <v>3537.5</v>
      </c>
      <c r="C79" s="100">
        <f t="shared" ref="C79:C97" si="34">IF($B$7&gt;(ROW(C56)-ROW($C$55)),(C78-$C$38)*(1+$B$5)+$C$38,0)</f>
        <v>3171.875</v>
      </c>
      <c r="D79" s="100">
        <f t="shared" ref="D79:D97" si="35">IF($B$7&gt;(ROW(D56)-ROW($D$55)),(D78-$D$38)*(1+$B$5)+$D$38,0)</f>
        <v>3537.5</v>
      </c>
      <c r="E79" s="100">
        <f t="shared" ref="E79:E97" si="36">IF($B$7&gt;(ROW(E56)-ROW($E$55)),(E78-$E$38)*(1+$B$5)+$E$38,0)</f>
        <v>3171.875</v>
      </c>
      <c r="F79" s="100">
        <f t="shared" ref="F79:F97" si="37">IF($B$7&gt;(ROW(F56)-ROW($F$55)),(F78-$F$38)*(1+$B$5)+$F$38,0)</f>
        <v>3856.25</v>
      </c>
      <c r="G79" s="100">
        <f t="shared" ref="G79:G97" si="38">IF($B$7&gt;(ROW(G56)-ROW($G$55)),(G78-$G$38)*(1+$B$5)+$G$38,0)</f>
        <v>3856.25</v>
      </c>
      <c r="H79" s="100">
        <f t="shared" ref="H79:H97" si="39">IF($B$7&gt;(ROW(H56)-ROW($H$55)),(H78-$H$38)*(1+$B$5)+$H$38,0)</f>
        <v>2768.75</v>
      </c>
      <c r="I79" s="100">
        <f t="shared" ref="I79:I97" si="40">IF($B$7&gt;(ROW(I56)-ROW($I$55)),(I78-$I$38)*(1+$B$5)+$I$38,0)</f>
        <v>5975</v>
      </c>
      <c r="J79" s="100">
        <f t="shared" ref="J79:J97" si="41">IF($B$7&gt;(ROW(J56)-ROW($J$55)),(J78-$J$38)*(1+$B$5)+$J$38,0)</f>
        <v>3425</v>
      </c>
      <c r="K79" s="100">
        <f t="shared" ref="K79:K97" si="42">IF($B$7&gt;(ROW(K56)-ROW($K$55)),(K78-$K$38)*(1+$B$5)+$K$38,0)</f>
        <v>12664.321967446773</v>
      </c>
      <c r="L79" t="s">
        <v>143</v>
      </c>
    </row>
    <row r="80" spans="1:12" hidden="1" outlineLevel="1" x14ac:dyDescent="0.25">
      <c r="A80" t="s">
        <v>168</v>
      </c>
      <c r="B80" s="100">
        <f t="shared" si="33"/>
        <v>3537.5</v>
      </c>
      <c r="C80" s="100">
        <f t="shared" si="34"/>
        <v>3171.875</v>
      </c>
      <c r="D80" s="100">
        <f t="shared" si="35"/>
        <v>3537.5</v>
      </c>
      <c r="E80" s="100">
        <f t="shared" si="36"/>
        <v>3171.875</v>
      </c>
      <c r="F80" s="100">
        <f t="shared" si="37"/>
        <v>3856.25</v>
      </c>
      <c r="G80" s="100">
        <f t="shared" si="38"/>
        <v>3856.25</v>
      </c>
      <c r="H80" s="100">
        <f t="shared" si="39"/>
        <v>2768.75</v>
      </c>
      <c r="I80" s="100">
        <f t="shared" si="40"/>
        <v>5975</v>
      </c>
      <c r="J80" s="100">
        <f t="shared" si="41"/>
        <v>3425</v>
      </c>
      <c r="K80" s="100">
        <f t="shared" si="42"/>
        <v>12664.321967446773</v>
      </c>
      <c r="L80" t="s">
        <v>143</v>
      </c>
    </row>
    <row r="81" spans="1:12" hidden="1" outlineLevel="1" x14ac:dyDescent="0.25">
      <c r="A81" t="s">
        <v>169</v>
      </c>
      <c r="B81" s="100">
        <f t="shared" si="33"/>
        <v>3537.5</v>
      </c>
      <c r="C81" s="100">
        <f t="shared" si="34"/>
        <v>3171.875</v>
      </c>
      <c r="D81" s="100">
        <f t="shared" si="35"/>
        <v>3537.5</v>
      </c>
      <c r="E81" s="100">
        <f t="shared" si="36"/>
        <v>3171.875</v>
      </c>
      <c r="F81" s="100">
        <f t="shared" si="37"/>
        <v>3856.25</v>
      </c>
      <c r="G81" s="100">
        <f t="shared" si="38"/>
        <v>3856.25</v>
      </c>
      <c r="H81" s="100">
        <f t="shared" si="39"/>
        <v>2768.75</v>
      </c>
      <c r="I81" s="100">
        <f t="shared" si="40"/>
        <v>5975</v>
      </c>
      <c r="J81" s="100">
        <f t="shared" si="41"/>
        <v>3425</v>
      </c>
      <c r="K81" s="100">
        <f t="shared" si="42"/>
        <v>12664.321967446773</v>
      </c>
      <c r="L81" t="s">
        <v>143</v>
      </c>
    </row>
    <row r="82" spans="1:12" hidden="1" outlineLevel="1" x14ac:dyDescent="0.25">
      <c r="A82" t="s">
        <v>170</v>
      </c>
      <c r="B82" s="100">
        <f t="shared" si="33"/>
        <v>3537.5</v>
      </c>
      <c r="C82" s="100">
        <f t="shared" si="34"/>
        <v>3171.875</v>
      </c>
      <c r="D82" s="100">
        <f t="shared" si="35"/>
        <v>3537.5</v>
      </c>
      <c r="E82" s="100">
        <f t="shared" si="36"/>
        <v>3171.875</v>
      </c>
      <c r="F82" s="100">
        <f t="shared" si="37"/>
        <v>3856.25</v>
      </c>
      <c r="G82" s="100">
        <f t="shared" si="38"/>
        <v>3856.25</v>
      </c>
      <c r="H82" s="100">
        <f t="shared" si="39"/>
        <v>2768.75</v>
      </c>
      <c r="I82" s="100">
        <f t="shared" si="40"/>
        <v>5975</v>
      </c>
      <c r="J82" s="100">
        <f t="shared" si="41"/>
        <v>3425</v>
      </c>
      <c r="K82" s="100">
        <f t="shared" si="42"/>
        <v>12664.321967446773</v>
      </c>
      <c r="L82" t="s">
        <v>143</v>
      </c>
    </row>
    <row r="83" spans="1:12" hidden="1" outlineLevel="1" x14ac:dyDescent="0.25">
      <c r="A83" t="s">
        <v>171</v>
      </c>
      <c r="B83" s="100">
        <f t="shared" si="33"/>
        <v>3537.5</v>
      </c>
      <c r="C83" s="100">
        <f t="shared" si="34"/>
        <v>3171.875</v>
      </c>
      <c r="D83" s="100">
        <f t="shared" si="35"/>
        <v>3537.5</v>
      </c>
      <c r="E83" s="100">
        <f t="shared" si="36"/>
        <v>3171.875</v>
      </c>
      <c r="F83" s="100">
        <f t="shared" si="37"/>
        <v>3856.25</v>
      </c>
      <c r="G83" s="100">
        <f t="shared" si="38"/>
        <v>3856.25</v>
      </c>
      <c r="H83" s="100">
        <f t="shared" si="39"/>
        <v>2768.75</v>
      </c>
      <c r="I83" s="100">
        <f t="shared" si="40"/>
        <v>5975</v>
      </c>
      <c r="J83" s="100">
        <f t="shared" si="41"/>
        <v>3425</v>
      </c>
      <c r="K83" s="100">
        <f t="shared" si="42"/>
        <v>12664.321967446773</v>
      </c>
      <c r="L83" t="s">
        <v>143</v>
      </c>
    </row>
    <row r="84" spans="1:12" hidden="1" outlineLevel="1" x14ac:dyDescent="0.25">
      <c r="A84" t="s">
        <v>172</v>
      </c>
      <c r="B84" s="100">
        <f t="shared" si="33"/>
        <v>3537.5</v>
      </c>
      <c r="C84" s="100">
        <f t="shared" si="34"/>
        <v>3171.875</v>
      </c>
      <c r="D84" s="100">
        <f t="shared" si="35"/>
        <v>3537.5</v>
      </c>
      <c r="E84" s="100">
        <f t="shared" si="36"/>
        <v>3171.875</v>
      </c>
      <c r="F84" s="100">
        <f t="shared" si="37"/>
        <v>3856.25</v>
      </c>
      <c r="G84" s="100">
        <f t="shared" si="38"/>
        <v>3856.25</v>
      </c>
      <c r="H84" s="100">
        <f t="shared" si="39"/>
        <v>2768.75</v>
      </c>
      <c r="I84" s="100">
        <f t="shared" si="40"/>
        <v>5975</v>
      </c>
      <c r="J84" s="100">
        <f t="shared" si="41"/>
        <v>3425</v>
      </c>
      <c r="K84" s="100">
        <f t="shared" si="42"/>
        <v>12664.321967446773</v>
      </c>
      <c r="L84" t="s">
        <v>143</v>
      </c>
    </row>
    <row r="85" spans="1:12" hidden="1" outlineLevel="1" x14ac:dyDescent="0.25">
      <c r="A85" t="s">
        <v>173</v>
      </c>
      <c r="B85" s="100">
        <f t="shared" si="33"/>
        <v>3537.5</v>
      </c>
      <c r="C85" s="100">
        <f t="shared" si="34"/>
        <v>3171.875</v>
      </c>
      <c r="D85" s="100">
        <f t="shared" si="35"/>
        <v>3537.5</v>
      </c>
      <c r="E85" s="100">
        <f t="shared" si="36"/>
        <v>3171.875</v>
      </c>
      <c r="F85" s="100">
        <f t="shared" si="37"/>
        <v>3856.25</v>
      </c>
      <c r="G85" s="100">
        <f t="shared" si="38"/>
        <v>3856.25</v>
      </c>
      <c r="H85" s="100">
        <f t="shared" si="39"/>
        <v>2768.75</v>
      </c>
      <c r="I85" s="100">
        <f t="shared" si="40"/>
        <v>5975</v>
      </c>
      <c r="J85" s="100">
        <f t="shared" si="41"/>
        <v>3425</v>
      </c>
      <c r="K85" s="100">
        <f t="shared" si="42"/>
        <v>12664.321967446773</v>
      </c>
      <c r="L85" t="s">
        <v>143</v>
      </c>
    </row>
    <row r="86" spans="1:12" hidden="1" outlineLevel="1" x14ac:dyDescent="0.25">
      <c r="A86" t="s">
        <v>174</v>
      </c>
      <c r="B86" s="100">
        <f t="shared" si="33"/>
        <v>3537.5</v>
      </c>
      <c r="C86" s="100">
        <f t="shared" si="34"/>
        <v>3171.875</v>
      </c>
      <c r="D86" s="100">
        <f t="shared" si="35"/>
        <v>3537.5</v>
      </c>
      <c r="E86" s="100">
        <f t="shared" si="36"/>
        <v>3171.875</v>
      </c>
      <c r="F86" s="100">
        <f t="shared" si="37"/>
        <v>3856.25</v>
      </c>
      <c r="G86" s="100">
        <f t="shared" si="38"/>
        <v>3856.25</v>
      </c>
      <c r="H86" s="100">
        <f t="shared" si="39"/>
        <v>2768.75</v>
      </c>
      <c r="I86" s="100">
        <f t="shared" si="40"/>
        <v>5975</v>
      </c>
      <c r="J86" s="100">
        <f t="shared" si="41"/>
        <v>3425</v>
      </c>
      <c r="K86" s="100">
        <f t="shared" si="42"/>
        <v>12664.321967446773</v>
      </c>
      <c r="L86" t="s">
        <v>143</v>
      </c>
    </row>
    <row r="87" spans="1:12" hidden="1" outlineLevel="1" x14ac:dyDescent="0.25">
      <c r="A87" t="s">
        <v>175</v>
      </c>
      <c r="B87" s="100">
        <f t="shared" si="33"/>
        <v>3537.5</v>
      </c>
      <c r="C87" s="100">
        <f t="shared" si="34"/>
        <v>3171.875</v>
      </c>
      <c r="D87" s="100">
        <f t="shared" si="35"/>
        <v>3537.5</v>
      </c>
      <c r="E87" s="100">
        <f t="shared" si="36"/>
        <v>3171.875</v>
      </c>
      <c r="F87" s="100">
        <f t="shared" si="37"/>
        <v>3856.25</v>
      </c>
      <c r="G87" s="100">
        <f t="shared" si="38"/>
        <v>3856.25</v>
      </c>
      <c r="H87" s="100">
        <f t="shared" si="39"/>
        <v>2768.75</v>
      </c>
      <c r="I87" s="100">
        <f t="shared" si="40"/>
        <v>5975</v>
      </c>
      <c r="J87" s="100">
        <f t="shared" si="41"/>
        <v>3425</v>
      </c>
      <c r="K87" s="100">
        <f t="shared" si="42"/>
        <v>12664.321967446773</v>
      </c>
      <c r="L87" t="s">
        <v>143</v>
      </c>
    </row>
    <row r="88" spans="1:12" hidden="1" outlineLevel="1" x14ac:dyDescent="0.25">
      <c r="A88" t="s">
        <v>176</v>
      </c>
      <c r="B88" s="100">
        <f t="shared" si="33"/>
        <v>3537.5</v>
      </c>
      <c r="C88" s="100">
        <f t="shared" si="34"/>
        <v>3171.875</v>
      </c>
      <c r="D88" s="100">
        <f t="shared" si="35"/>
        <v>3537.5</v>
      </c>
      <c r="E88" s="100">
        <f t="shared" si="36"/>
        <v>3171.875</v>
      </c>
      <c r="F88" s="100">
        <f t="shared" si="37"/>
        <v>3856.25</v>
      </c>
      <c r="G88" s="100">
        <f t="shared" si="38"/>
        <v>3856.25</v>
      </c>
      <c r="H88" s="100">
        <f t="shared" si="39"/>
        <v>2768.75</v>
      </c>
      <c r="I88" s="100">
        <f t="shared" si="40"/>
        <v>5975</v>
      </c>
      <c r="J88" s="100">
        <f t="shared" si="41"/>
        <v>3425</v>
      </c>
      <c r="K88" s="100">
        <f t="shared" si="42"/>
        <v>12664.321967446773</v>
      </c>
      <c r="L88" t="s">
        <v>143</v>
      </c>
    </row>
    <row r="89" spans="1:12" hidden="1" outlineLevel="1" x14ac:dyDescent="0.25">
      <c r="A89" t="s">
        <v>177</v>
      </c>
      <c r="B89" s="100">
        <f t="shared" si="33"/>
        <v>3537.5</v>
      </c>
      <c r="C89" s="100">
        <f t="shared" si="34"/>
        <v>3171.875</v>
      </c>
      <c r="D89" s="100">
        <f t="shared" si="35"/>
        <v>3537.5</v>
      </c>
      <c r="E89" s="100">
        <f t="shared" si="36"/>
        <v>3171.875</v>
      </c>
      <c r="F89" s="100">
        <f t="shared" si="37"/>
        <v>3856.25</v>
      </c>
      <c r="G89" s="100">
        <f t="shared" si="38"/>
        <v>3856.25</v>
      </c>
      <c r="H89" s="100">
        <f t="shared" si="39"/>
        <v>2768.75</v>
      </c>
      <c r="I89" s="100">
        <f t="shared" si="40"/>
        <v>5975</v>
      </c>
      <c r="J89" s="100">
        <f t="shared" si="41"/>
        <v>3425</v>
      </c>
      <c r="K89" s="100">
        <f t="shared" si="42"/>
        <v>12664.321967446773</v>
      </c>
      <c r="L89" t="s">
        <v>143</v>
      </c>
    </row>
    <row r="90" spans="1:12" hidden="1" outlineLevel="1" x14ac:dyDescent="0.25">
      <c r="A90" t="s">
        <v>178</v>
      </c>
      <c r="B90" s="100">
        <f t="shared" si="33"/>
        <v>3537.5</v>
      </c>
      <c r="C90" s="100">
        <f t="shared" si="34"/>
        <v>3171.875</v>
      </c>
      <c r="D90" s="100">
        <f t="shared" si="35"/>
        <v>3537.5</v>
      </c>
      <c r="E90" s="100">
        <f t="shared" si="36"/>
        <v>3171.875</v>
      </c>
      <c r="F90" s="100">
        <f t="shared" si="37"/>
        <v>3856.25</v>
      </c>
      <c r="G90" s="100">
        <f t="shared" si="38"/>
        <v>3856.25</v>
      </c>
      <c r="H90" s="100">
        <f t="shared" si="39"/>
        <v>2768.75</v>
      </c>
      <c r="I90" s="100">
        <f t="shared" si="40"/>
        <v>5975</v>
      </c>
      <c r="J90" s="100">
        <f t="shared" si="41"/>
        <v>3425</v>
      </c>
      <c r="K90" s="100">
        <f t="shared" si="42"/>
        <v>12664.321967446773</v>
      </c>
      <c r="L90" t="s">
        <v>143</v>
      </c>
    </row>
    <row r="91" spans="1:12" hidden="1" outlineLevel="1" x14ac:dyDescent="0.25">
      <c r="A91" t="s">
        <v>179</v>
      </c>
      <c r="B91" s="100">
        <f t="shared" si="33"/>
        <v>3537.5</v>
      </c>
      <c r="C91" s="100">
        <f t="shared" si="34"/>
        <v>3171.875</v>
      </c>
      <c r="D91" s="100">
        <f t="shared" si="35"/>
        <v>3537.5</v>
      </c>
      <c r="E91" s="100">
        <f t="shared" si="36"/>
        <v>3171.875</v>
      </c>
      <c r="F91" s="100">
        <f t="shared" si="37"/>
        <v>3856.25</v>
      </c>
      <c r="G91" s="100">
        <f t="shared" si="38"/>
        <v>3856.25</v>
      </c>
      <c r="H91" s="100">
        <f t="shared" si="39"/>
        <v>2768.75</v>
      </c>
      <c r="I91" s="100">
        <f t="shared" si="40"/>
        <v>5975</v>
      </c>
      <c r="J91" s="100">
        <f t="shared" si="41"/>
        <v>3425</v>
      </c>
      <c r="K91" s="100">
        <f t="shared" si="42"/>
        <v>12664.321967446773</v>
      </c>
      <c r="L91" t="s">
        <v>143</v>
      </c>
    </row>
    <row r="92" spans="1:12" hidden="1" outlineLevel="1" x14ac:dyDescent="0.25">
      <c r="A92" t="s">
        <v>180</v>
      </c>
      <c r="B92" s="100">
        <f t="shared" si="33"/>
        <v>3537.5</v>
      </c>
      <c r="C92" s="100">
        <f t="shared" si="34"/>
        <v>3171.875</v>
      </c>
      <c r="D92" s="100">
        <f t="shared" si="35"/>
        <v>3537.5</v>
      </c>
      <c r="E92" s="100">
        <f t="shared" si="36"/>
        <v>3171.875</v>
      </c>
      <c r="F92" s="100">
        <f t="shared" si="37"/>
        <v>3856.25</v>
      </c>
      <c r="G92" s="100">
        <f t="shared" si="38"/>
        <v>3856.25</v>
      </c>
      <c r="H92" s="100">
        <f t="shared" si="39"/>
        <v>2768.75</v>
      </c>
      <c r="I92" s="100">
        <f t="shared" si="40"/>
        <v>5975</v>
      </c>
      <c r="J92" s="100">
        <f t="shared" si="41"/>
        <v>3425</v>
      </c>
      <c r="K92" s="100">
        <f t="shared" si="42"/>
        <v>12664.321967446773</v>
      </c>
      <c r="L92" t="s">
        <v>143</v>
      </c>
    </row>
    <row r="93" spans="1:12" hidden="1" outlineLevel="1" x14ac:dyDescent="0.25">
      <c r="A93" t="s">
        <v>181</v>
      </c>
      <c r="B93" s="100">
        <f t="shared" si="33"/>
        <v>0</v>
      </c>
      <c r="C93" s="100">
        <f t="shared" si="34"/>
        <v>0</v>
      </c>
      <c r="D93" s="100">
        <f t="shared" si="35"/>
        <v>0</v>
      </c>
      <c r="E93" s="100">
        <f t="shared" si="36"/>
        <v>0</v>
      </c>
      <c r="F93" s="100">
        <f t="shared" si="37"/>
        <v>0</v>
      </c>
      <c r="G93" s="100">
        <f t="shared" si="38"/>
        <v>0</v>
      </c>
      <c r="H93" s="100">
        <f t="shared" si="39"/>
        <v>0</v>
      </c>
      <c r="I93" s="100">
        <f t="shared" si="40"/>
        <v>0</v>
      </c>
      <c r="J93" s="100">
        <f t="shared" si="41"/>
        <v>0</v>
      </c>
      <c r="K93" s="100">
        <f t="shared" si="42"/>
        <v>0</v>
      </c>
      <c r="L93" t="s">
        <v>143</v>
      </c>
    </row>
    <row r="94" spans="1:12" hidden="1" outlineLevel="1" x14ac:dyDescent="0.25">
      <c r="A94" t="s">
        <v>182</v>
      </c>
      <c r="B94" s="100">
        <f t="shared" si="33"/>
        <v>0</v>
      </c>
      <c r="C94" s="100">
        <f t="shared" si="34"/>
        <v>0</v>
      </c>
      <c r="D94" s="100">
        <f t="shared" si="35"/>
        <v>0</v>
      </c>
      <c r="E94" s="100">
        <f t="shared" si="36"/>
        <v>0</v>
      </c>
      <c r="F94" s="100">
        <f t="shared" si="37"/>
        <v>0</v>
      </c>
      <c r="G94" s="100">
        <f t="shared" si="38"/>
        <v>0</v>
      </c>
      <c r="H94" s="100">
        <f t="shared" si="39"/>
        <v>0</v>
      </c>
      <c r="I94" s="100">
        <f t="shared" si="40"/>
        <v>0</v>
      </c>
      <c r="J94" s="100">
        <f t="shared" si="41"/>
        <v>0</v>
      </c>
      <c r="K94" s="100">
        <f t="shared" si="42"/>
        <v>0</v>
      </c>
      <c r="L94" t="s">
        <v>143</v>
      </c>
    </row>
    <row r="95" spans="1:12" hidden="1" outlineLevel="1" x14ac:dyDescent="0.25">
      <c r="A95" t="s">
        <v>183</v>
      </c>
      <c r="B95" s="100">
        <f t="shared" si="33"/>
        <v>0</v>
      </c>
      <c r="C95" s="100">
        <f t="shared" si="34"/>
        <v>0</v>
      </c>
      <c r="D95" s="100">
        <f t="shared" si="35"/>
        <v>0</v>
      </c>
      <c r="E95" s="100">
        <f t="shared" si="36"/>
        <v>0</v>
      </c>
      <c r="F95" s="100">
        <f t="shared" si="37"/>
        <v>0</v>
      </c>
      <c r="G95" s="100">
        <f t="shared" si="38"/>
        <v>0</v>
      </c>
      <c r="H95" s="100">
        <f t="shared" si="39"/>
        <v>0</v>
      </c>
      <c r="I95" s="100">
        <f t="shared" si="40"/>
        <v>0</v>
      </c>
      <c r="J95" s="100">
        <f t="shared" si="41"/>
        <v>0</v>
      </c>
      <c r="K95" s="100">
        <f t="shared" si="42"/>
        <v>0</v>
      </c>
      <c r="L95" t="s">
        <v>143</v>
      </c>
    </row>
    <row r="96" spans="1:12" hidden="1" outlineLevel="1" x14ac:dyDescent="0.25">
      <c r="A96" t="s">
        <v>184</v>
      </c>
      <c r="B96" s="100">
        <f t="shared" si="33"/>
        <v>0</v>
      </c>
      <c r="C96" s="100">
        <f t="shared" si="34"/>
        <v>0</v>
      </c>
      <c r="D96" s="100">
        <f t="shared" si="35"/>
        <v>0</v>
      </c>
      <c r="E96" s="100">
        <f t="shared" si="36"/>
        <v>0</v>
      </c>
      <c r="F96" s="100">
        <f t="shared" si="37"/>
        <v>0</v>
      </c>
      <c r="G96" s="100">
        <f t="shared" si="38"/>
        <v>0</v>
      </c>
      <c r="H96" s="100">
        <f t="shared" si="39"/>
        <v>0</v>
      </c>
      <c r="I96" s="100">
        <f t="shared" si="40"/>
        <v>0</v>
      </c>
      <c r="J96" s="100">
        <f t="shared" si="41"/>
        <v>0</v>
      </c>
      <c r="K96" s="100">
        <f t="shared" si="42"/>
        <v>0</v>
      </c>
      <c r="L96" t="s">
        <v>143</v>
      </c>
    </row>
    <row r="97" spans="1:12" hidden="1" outlineLevel="1" x14ac:dyDescent="0.25">
      <c r="A97" t="s">
        <v>185</v>
      </c>
      <c r="B97" s="100">
        <f t="shared" si="33"/>
        <v>0</v>
      </c>
      <c r="C97" s="100">
        <f t="shared" si="34"/>
        <v>0</v>
      </c>
      <c r="D97" s="100">
        <f t="shared" si="35"/>
        <v>0</v>
      </c>
      <c r="E97" s="100">
        <f t="shared" si="36"/>
        <v>0</v>
      </c>
      <c r="F97" s="100">
        <f t="shared" si="37"/>
        <v>0</v>
      </c>
      <c r="G97" s="100">
        <f t="shared" si="38"/>
        <v>0</v>
      </c>
      <c r="H97" s="100">
        <f t="shared" si="39"/>
        <v>0</v>
      </c>
      <c r="I97" s="100">
        <f t="shared" si="40"/>
        <v>0</v>
      </c>
      <c r="J97" s="100">
        <f t="shared" si="41"/>
        <v>0</v>
      </c>
      <c r="K97" s="100">
        <f t="shared" si="42"/>
        <v>0</v>
      </c>
      <c r="L97" t="s">
        <v>143</v>
      </c>
    </row>
    <row r="98" spans="1:12" hidden="1" outlineLevel="1" x14ac:dyDescent="0.25">
      <c r="A98" s="5" t="s">
        <v>189</v>
      </c>
      <c r="B98" s="101">
        <f>SUM(B78:B97)</f>
        <v>53062.5</v>
      </c>
      <c r="C98" s="101">
        <f t="shared" ref="C98:K98" si="43">SUM(C78:C97)</f>
        <v>47578.125</v>
      </c>
      <c r="D98" s="101">
        <f t="shared" si="43"/>
        <v>53062.5</v>
      </c>
      <c r="E98" s="101">
        <f t="shared" si="43"/>
        <v>47578.125</v>
      </c>
      <c r="F98" s="101">
        <f t="shared" si="43"/>
        <v>57843.75</v>
      </c>
      <c r="G98" s="101">
        <f t="shared" si="43"/>
        <v>57843.75</v>
      </c>
      <c r="H98" s="101">
        <f t="shared" si="43"/>
        <v>41531.25</v>
      </c>
      <c r="I98" s="101">
        <f t="shared" si="43"/>
        <v>89625</v>
      </c>
      <c r="J98" s="101">
        <f t="shared" si="43"/>
        <v>51375</v>
      </c>
      <c r="K98" s="101">
        <f t="shared" si="43"/>
        <v>189964.82951170157</v>
      </c>
      <c r="L98" s="5" t="s">
        <v>187</v>
      </c>
    </row>
    <row r="99" spans="1:12" hidden="1" outlineLevel="1" x14ac:dyDescent="0.25">
      <c r="B99" s="100"/>
    </row>
    <row r="100" spans="1:12" hidden="1" outlineLevel="1" x14ac:dyDescent="0.25">
      <c r="B100" s="100"/>
    </row>
    <row r="101" spans="1:12" hidden="1" outlineLevel="1" x14ac:dyDescent="0.25">
      <c r="A101" s="5" t="s">
        <v>190</v>
      </c>
      <c r="B101" s="100"/>
    </row>
    <row r="102" spans="1:12" hidden="1" outlineLevel="1" x14ac:dyDescent="0.25">
      <c r="A102" t="s">
        <v>166</v>
      </c>
      <c r="B102" s="99">
        <f>$B$41</f>
        <v>0</v>
      </c>
      <c r="C102" s="99">
        <f t="shared" ref="C102:K102" si="44">C41</f>
        <v>0</v>
      </c>
      <c r="D102" s="99">
        <f t="shared" si="44"/>
        <v>3208.125190806315</v>
      </c>
      <c r="E102" s="99">
        <f t="shared" si="44"/>
        <v>2528.4376503812487</v>
      </c>
      <c r="F102" s="99">
        <f t="shared" si="44"/>
        <v>12234.375727651201</v>
      </c>
      <c r="G102" s="99">
        <f t="shared" si="44"/>
        <v>7666.8754559947547</v>
      </c>
      <c r="H102" s="99">
        <f t="shared" si="44"/>
        <v>3466.4064561678406</v>
      </c>
      <c r="I102" s="99">
        <f t="shared" si="44"/>
        <v>5546.2503298685442</v>
      </c>
      <c r="J102" s="99">
        <f t="shared" si="44"/>
        <v>1549.6875921691521</v>
      </c>
      <c r="K102" s="99">
        <f t="shared" si="44"/>
        <v>0</v>
      </c>
      <c r="L102" s="99" t="s">
        <v>143</v>
      </c>
    </row>
    <row r="103" spans="1:12" hidden="1" outlineLevel="1" x14ac:dyDescent="0.25">
      <c r="A103" t="s">
        <v>167</v>
      </c>
      <c r="B103" s="99">
        <f t="shared" ref="B103:B121" si="45">IF($B$7&gt;(ROW(B56)-ROW($B$55)),B102,0)</f>
        <v>0</v>
      </c>
      <c r="C103" s="99">
        <f t="shared" ref="C103:C121" si="46">IF($B$7&gt;(ROW(C56)-ROW($C$55)),C102,0)</f>
        <v>0</v>
      </c>
      <c r="D103" s="99">
        <f t="shared" ref="D103:D121" si="47">IF($B$7&gt;(ROW(D56)-ROW($D$55)),D102,0)</f>
        <v>3208.125190806315</v>
      </c>
      <c r="E103" s="99">
        <f t="shared" ref="E103:E121" si="48">IF($B$7&gt;(ROW(E56)-ROW($E$55)),E102,0)</f>
        <v>2528.4376503812487</v>
      </c>
      <c r="F103" s="99">
        <f t="shared" ref="F103:F121" si="49">IF($B$7&gt;(ROW(F56)-ROW($F$55)),F102,0)</f>
        <v>12234.375727651201</v>
      </c>
      <c r="G103" s="99">
        <f t="shared" ref="G103:G121" si="50">IF($B$7&gt;(ROW(G56)-ROW($G$55)),G102,0)</f>
        <v>7666.8754559947547</v>
      </c>
      <c r="H103" s="99">
        <f t="shared" ref="H103:H121" si="51">IF($B$7&gt;(ROW(H56)-ROW($H$55)),H102,0)</f>
        <v>3466.4064561678406</v>
      </c>
      <c r="I103" s="99">
        <f t="shared" ref="I103:I121" si="52">IF($B$7&gt;(ROW(I56)-ROW($I$55)),I102,0)</f>
        <v>5546.2503298685442</v>
      </c>
      <c r="J103" s="99">
        <f t="shared" ref="J103:J121" si="53">IF($B$7&gt;(ROW(J56)-ROW($J$55)),J102,0)</f>
        <v>1549.6875921691521</v>
      </c>
      <c r="K103" s="99">
        <f t="shared" ref="K103:K121" si="54">IF($B$7&gt;(ROW(K56)-ROW($K$55)),K102,0)</f>
        <v>0</v>
      </c>
      <c r="L103" s="99" t="s">
        <v>143</v>
      </c>
    </row>
    <row r="104" spans="1:12" hidden="1" outlineLevel="1" x14ac:dyDescent="0.25">
      <c r="A104" t="s">
        <v>168</v>
      </c>
      <c r="B104" s="99">
        <f t="shared" si="45"/>
        <v>0</v>
      </c>
      <c r="C104" s="99">
        <f t="shared" si="46"/>
        <v>0</v>
      </c>
      <c r="D104" s="99">
        <f t="shared" si="47"/>
        <v>3208.125190806315</v>
      </c>
      <c r="E104" s="99">
        <f t="shared" si="48"/>
        <v>2528.4376503812487</v>
      </c>
      <c r="F104" s="99">
        <f t="shared" si="49"/>
        <v>12234.375727651201</v>
      </c>
      <c r="G104" s="99">
        <f t="shared" si="50"/>
        <v>7666.8754559947547</v>
      </c>
      <c r="H104" s="99">
        <f t="shared" si="51"/>
        <v>3466.4064561678406</v>
      </c>
      <c r="I104" s="99">
        <f t="shared" si="52"/>
        <v>5546.2503298685442</v>
      </c>
      <c r="J104" s="99">
        <f t="shared" si="53"/>
        <v>1549.6875921691521</v>
      </c>
      <c r="K104" s="99">
        <f t="shared" si="54"/>
        <v>0</v>
      </c>
      <c r="L104" s="99" t="s">
        <v>143</v>
      </c>
    </row>
    <row r="105" spans="1:12" hidden="1" outlineLevel="1" x14ac:dyDescent="0.25">
      <c r="A105" t="s">
        <v>169</v>
      </c>
      <c r="B105" s="99">
        <f t="shared" si="45"/>
        <v>0</v>
      </c>
      <c r="C105" s="99">
        <f t="shared" si="46"/>
        <v>0</v>
      </c>
      <c r="D105" s="99">
        <f t="shared" si="47"/>
        <v>3208.125190806315</v>
      </c>
      <c r="E105" s="99">
        <f t="shared" si="48"/>
        <v>2528.4376503812487</v>
      </c>
      <c r="F105" s="99">
        <f t="shared" si="49"/>
        <v>12234.375727651201</v>
      </c>
      <c r="G105" s="99">
        <f t="shared" si="50"/>
        <v>7666.8754559947547</v>
      </c>
      <c r="H105" s="99">
        <f t="shared" si="51"/>
        <v>3466.4064561678406</v>
      </c>
      <c r="I105" s="99">
        <f t="shared" si="52"/>
        <v>5546.2503298685442</v>
      </c>
      <c r="J105" s="99">
        <f t="shared" si="53"/>
        <v>1549.6875921691521</v>
      </c>
      <c r="K105" s="99">
        <f t="shared" si="54"/>
        <v>0</v>
      </c>
      <c r="L105" s="99" t="s">
        <v>143</v>
      </c>
    </row>
    <row r="106" spans="1:12" hidden="1" outlineLevel="1" x14ac:dyDescent="0.25">
      <c r="A106" t="s">
        <v>170</v>
      </c>
      <c r="B106" s="99">
        <f t="shared" si="45"/>
        <v>0</v>
      </c>
      <c r="C106" s="99">
        <f t="shared" si="46"/>
        <v>0</v>
      </c>
      <c r="D106" s="99">
        <f t="shared" si="47"/>
        <v>3208.125190806315</v>
      </c>
      <c r="E106" s="99">
        <f t="shared" si="48"/>
        <v>2528.4376503812487</v>
      </c>
      <c r="F106" s="99">
        <f t="shared" si="49"/>
        <v>12234.375727651201</v>
      </c>
      <c r="G106" s="99">
        <f t="shared" si="50"/>
        <v>7666.8754559947547</v>
      </c>
      <c r="H106" s="99">
        <f t="shared" si="51"/>
        <v>3466.4064561678406</v>
      </c>
      <c r="I106" s="99">
        <f t="shared" si="52"/>
        <v>5546.2503298685442</v>
      </c>
      <c r="J106" s="99">
        <f t="shared" si="53"/>
        <v>1549.6875921691521</v>
      </c>
      <c r="K106" s="99">
        <f t="shared" si="54"/>
        <v>0</v>
      </c>
      <c r="L106" s="99" t="s">
        <v>143</v>
      </c>
    </row>
    <row r="107" spans="1:12" hidden="1" outlineLevel="1" x14ac:dyDescent="0.25">
      <c r="A107" t="s">
        <v>171</v>
      </c>
      <c r="B107" s="99">
        <f t="shared" si="45"/>
        <v>0</v>
      </c>
      <c r="C107" s="99">
        <f t="shared" si="46"/>
        <v>0</v>
      </c>
      <c r="D107" s="99">
        <f t="shared" si="47"/>
        <v>3208.125190806315</v>
      </c>
      <c r="E107" s="99">
        <f t="shared" si="48"/>
        <v>2528.4376503812487</v>
      </c>
      <c r="F107" s="99">
        <f t="shared" si="49"/>
        <v>12234.375727651201</v>
      </c>
      <c r="G107" s="99">
        <f t="shared" si="50"/>
        <v>7666.8754559947547</v>
      </c>
      <c r="H107" s="99">
        <f t="shared" si="51"/>
        <v>3466.4064561678406</v>
      </c>
      <c r="I107" s="99">
        <f t="shared" si="52"/>
        <v>5546.2503298685442</v>
      </c>
      <c r="J107" s="99">
        <f t="shared" si="53"/>
        <v>1549.6875921691521</v>
      </c>
      <c r="K107" s="99">
        <f t="shared" si="54"/>
        <v>0</v>
      </c>
      <c r="L107" s="99" t="s">
        <v>143</v>
      </c>
    </row>
    <row r="108" spans="1:12" hidden="1" outlineLevel="1" x14ac:dyDescent="0.25">
      <c r="A108" t="s">
        <v>172</v>
      </c>
      <c r="B108" s="99">
        <f t="shared" si="45"/>
        <v>0</v>
      </c>
      <c r="C108" s="99">
        <f t="shared" si="46"/>
        <v>0</v>
      </c>
      <c r="D108" s="99">
        <f t="shared" si="47"/>
        <v>3208.125190806315</v>
      </c>
      <c r="E108" s="99">
        <f t="shared" si="48"/>
        <v>2528.4376503812487</v>
      </c>
      <c r="F108" s="99">
        <f t="shared" si="49"/>
        <v>12234.375727651201</v>
      </c>
      <c r="G108" s="99">
        <f t="shared" si="50"/>
        <v>7666.8754559947547</v>
      </c>
      <c r="H108" s="99">
        <f t="shared" si="51"/>
        <v>3466.4064561678406</v>
      </c>
      <c r="I108" s="99">
        <f t="shared" si="52"/>
        <v>5546.2503298685442</v>
      </c>
      <c r="J108" s="99">
        <f t="shared" si="53"/>
        <v>1549.6875921691521</v>
      </c>
      <c r="K108" s="99">
        <f t="shared" si="54"/>
        <v>0</v>
      </c>
      <c r="L108" s="99" t="s">
        <v>143</v>
      </c>
    </row>
    <row r="109" spans="1:12" hidden="1" outlineLevel="1" x14ac:dyDescent="0.25">
      <c r="A109" t="s">
        <v>173</v>
      </c>
      <c r="B109" s="99">
        <f t="shared" si="45"/>
        <v>0</v>
      </c>
      <c r="C109" s="99">
        <f t="shared" si="46"/>
        <v>0</v>
      </c>
      <c r="D109" s="99">
        <f t="shared" si="47"/>
        <v>3208.125190806315</v>
      </c>
      <c r="E109" s="99">
        <f t="shared" si="48"/>
        <v>2528.4376503812487</v>
      </c>
      <c r="F109" s="99">
        <f t="shared" si="49"/>
        <v>12234.375727651201</v>
      </c>
      <c r="G109" s="99">
        <f t="shared" si="50"/>
        <v>7666.8754559947547</v>
      </c>
      <c r="H109" s="99">
        <f t="shared" si="51"/>
        <v>3466.4064561678406</v>
      </c>
      <c r="I109" s="99">
        <f t="shared" si="52"/>
        <v>5546.2503298685442</v>
      </c>
      <c r="J109" s="99">
        <f t="shared" si="53"/>
        <v>1549.6875921691521</v>
      </c>
      <c r="K109" s="99">
        <f t="shared" si="54"/>
        <v>0</v>
      </c>
      <c r="L109" s="99" t="s">
        <v>143</v>
      </c>
    </row>
    <row r="110" spans="1:12" hidden="1" outlineLevel="1" x14ac:dyDescent="0.25">
      <c r="A110" t="s">
        <v>174</v>
      </c>
      <c r="B110" s="99">
        <f t="shared" si="45"/>
        <v>0</v>
      </c>
      <c r="C110" s="99">
        <f t="shared" si="46"/>
        <v>0</v>
      </c>
      <c r="D110" s="99">
        <f t="shared" si="47"/>
        <v>3208.125190806315</v>
      </c>
      <c r="E110" s="99">
        <f t="shared" si="48"/>
        <v>2528.4376503812487</v>
      </c>
      <c r="F110" s="99">
        <f t="shared" si="49"/>
        <v>12234.375727651201</v>
      </c>
      <c r="G110" s="99">
        <f t="shared" si="50"/>
        <v>7666.8754559947547</v>
      </c>
      <c r="H110" s="99">
        <f t="shared" si="51"/>
        <v>3466.4064561678406</v>
      </c>
      <c r="I110" s="99">
        <f t="shared" si="52"/>
        <v>5546.2503298685442</v>
      </c>
      <c r="J110" s="99">
        <f t="shared" si="53"/>
        <v>1549.6875921691521</v>
      </c>
      <c r="K110" s="99">
        <f t="shared" si="54"/>
        <v>0</v>
      </c>
      <c r="L110" s="99" t="s">
        <v>143</v>
      </c>
    </row>
    <row r="111" spans="1:12" hidden="1" outlineLevel="1" x14ac:dyDescent="0.25">
      <c r="A111" t="s">
        <v>175</v>
      </c>
      <c r="B111" s="99">
        <f t="shared" si="45"/>
        <v>0</v>
      </c>
      <c r="C111" s="99">
        <f t="shared" si="46"/>
        <v>0</v>
      </c>
      <c r="D111" s="99">
        <f t="shared" si="47"/>
        <v>3208.125190806315</v>
      </c>
      <c r="E111" s="99">
        <f t="shared" si="48"/>
        <v>2528.4376503812487</v>
      </c>
      <c r="F111" s="99">
        <f t="shared" si="49"/>
        <v>12234.375727651201</v>
      </c>
      <c r="G111" s="99">
        <f t="shared" si="50"/>
        <v>7666.8754559947547</v>
      </c>
      <c r="H111" s="99">
        <f t="shared" si="51"/>
        <v>3466.4064561678406</v>
      </c>
      <c r="I111" s="99">
        <f t="shared" si="52"/>
        <v>5546.2503298685442</v>
      </c>
      <c r="J111" s="99">
        <f t="shared" si="53"/>
        <v>1549.6875921691521</v>
      </c>
      <c r="K111" s="99">
        <f t="shared" si="54"/>
        <v>0</v>
      </c>
      <c r="L111" s="99" t="s">
        <v>143</v>
      </c>
    </row>
    <row r="112" spans="1:12" hidden="1" outlineLevel="1" x14ac:dyDescent="0.25">
      <c r="A112" t="s">
        <v>176</v>
      </c>
      <c r="B112" s="99">
        <f t="shared" si="45"/>
        <v>0</v>
      </c>
      <c r="C112" s="99">
        <f t="shared" si="46"/>
        <v>0</v>
      </c>
      <c r="D112" s="99">
        <f t="shared" si="47"/>
        <v>3208.125190806315</v>
      </c>
      <c r="E112" s="99">
        <f t="shared" si="48"/>
        <v>2528.4376503812487</v>
      </c>
      <c r="F112" s="99">
        <f t="shared" si="49"/>
        <v>12234.375727651201</v>
      </c>
      <c r="G112" s="99">
        <f t="shared" si="50"/>
        <v>7666.8754559947547</v>
      </c>
      <c r="H112" s="99">
        <f t="shared" si="51"/>
        <v>3466.4064561678406</v>
      </c>
      <c r="I112" s="99">
        <f t="shared" si="52"/>
        <v>5546.2503298685442</v>
      </c>
      <c r="J112" s="99">
        <f t="shared" si="53"/>
        <v>1549.6875921691521</v>
      </c>
      <c r="K112" s="99">
        <f t="shared" si="54"/>
        <v>0</v>
      </c>
      <c r="L112" s="99" t="s">
        <v>143</v>
      </c>
    </row>
    <row r="113" spans="1:18" hidden="1" outlineLevel="1" x14ac:dyDescent="0.25">
      <c r="A113" t="s">
        <v>177</v>
      </c>
      <c r="B113" s="99">
        <f t="shared" si="45"/>
        <v>0</v>
      </c>
      <c r="C113" s="99">
        <f t="shared" si="46"/>
        <v>0</v>
      </c>
      <c r="D113" s="99">
        <f t="shared" si="47"/>
        <v>3208.125190806315</v>
      </c>
      <c r="E113" s="99">
        <f t="shared" si="48"/>
        <v>2528.4376503812487</v>
      </c>
      <c r="F113" s="99">
        <f t="shared" si="49"/>
        <v>12234.375727651201</v>
      </c>
      <c r="G113" s="99">
        <f t="shared" si="50"/>
        <v>7666.8754559947547</v>
      </c>
      <c r="H113" s="99">
        <f t="shared" si="51"/>
        <v>3466.4064561678406</v>
      </c>
      <c r="I113" s="99">
        <f t="shared" si="52"/>
        <v>5546.2503298685442</v>
      </c>
      <c r="J113" s="99">
        <f t="shared" si="53"/>
        <v>1549.6875921691521</v>
      </c>
      <c r="K113" s="99">
        <f t="shared" si="54"/>
        <v>0</v>
      </c>
      <c r="L113" s="99" t="s">
        <v>143</v>
      </c>
    </row>
    <row r="114" spans="1:18" hidden="1" outlineLevel="1" x14ac:dyDescent="0.25">
      <c r="A114" t="s">
        <v>178</v>
      </c>
      <c r="B114" s="99">
        <f t="shared" si="45"/>
        <v>0</v>
      </c>
      <c r="C114" s="99">
        <f t="shared" si="46"/>
        <v>0</v>
      </c>
      <c r="D114" s="99">
        <f t="shared" si="47"/>
        <v>3208.125190806315</v>
      </c>
      <c r="E114" s="99">
        <f t="shared" si="48"/>
        <v>2528.4376503812487</v>
      </c>
      <c r="F114" s="99">
        <f t="shared" si="49"/>
        <v>12234.375727651201</v>
      </c>
      <c r="G114" s="99">
        <f t="shared" si="50"/>
        <v>7666.8754559947547</v>
      </c>
      <c r="H114" s="99">
        <f t="shared" si="51"/>
        <v>3466.4064561678406</v>
      </c>
      <c r="I114" s="99">
        <f t="shared" si="52"/>
        <v>5546.2503298685442</v>
      </c>
      <c r="J114" s="99">
        <f t="shared" si="53"/>
        <v>1549.6875921691521</v>
      </c>
      <c r="K114" s="99">
        <f t="shared" si="54"/>
        <v>0</v>
      </c>
      <c r="L114" s="99" t="s">
        <v>143</v>
      </c>
    </row>
    <row r="115" spans="1:18" hidden="1" outlineLevel="1" x14ac:dyDescent="0.25">
      <c r="A115" t="s">
        <v>179</v>
      </c>
      <c r="B115" s="99">
        <f t="shared" si="45"/>
        <v>0</v>
      </c>
      <c r="C115" s="99">
        <f t="shared" si="46"/>
        <v>0</v>
      </c>
      <c r="D115" s="99">
        <f t="shared" si="47"/>
        <v>3208.125190806315</v>
      </c>
      <c r="E115" s="99">
        <f t="shared" si="48"/>
        <v>2528.4376503812487</v>
      </c>
      <c r="F115" s="99">
        <f t="shared" si="49"/>
        <v>12234.375727651201</v>
      </c>
      <c r="G115" s="99">
        <f t="shared" si="50"/>
        <v>7666.8754559947547</v>
      </c>
      <c r="H115" s="99">
        <f t="shared" si="51"/>
        <v>3466.4064561678406</v>
      </c>
      <c r="I115" s="99">
        <f t="shared" si="52"/>
        <v>5546.2503298685442</v>
      </c>
      <c r="J115" s="99">
        <f t="shared" si="53"/>
        <v>1549.6875921691521</v>
      </c>
      <c r="K115" s="99">
        <f t="shared" si="54"/>
        <v>0</v>
      </c>
      <c r="L115" s="99" t="s">
        <v>143</v>
      </c>
    </row>
    <row r="116" spans="1:18" hidden="1" outlineLevel="1" x14ac:dyDescent="0.25">
      <c r="A116" t="s">
        <v>180</v>
      </c>
      <c r="B116" s="99">
        <f t="shared" si="45"/>
        <v>0</v>
      </c>
      <c r="C116" s="99">
        <f t="shared" si="46"/>
        <v>0</v>
      </c>
      <c r="D116" s="99">
        <f t="shared" si="47"/>
        <v>3208.125190806315</v>
      </c>
      <c r="E116" s="99">
        <f t="shared" si="48"/>
        <v>2528.4376503812487</v>
      </c>
      <c r="F116" s="99">
        <f t="shared" si="49"/>
        <v>12234.375727651201</v>
      </c>
      <c r="G116" s="99">
        <f t="shared" si="50"/>
        <v>7666.8754559947547</v>
      </c>
      <c r="H116" s="99">
        <f t="shared" si="51"/>
        <v>3466.4064561678406</v>
      </c>
      <c r="I116" s="99">
        <f t="shared" si="52"/>
        <v>5546.2503298685442</v>
      </c>
      <c r="J116" s="99">
        <f t="shared" si="53"/>
        <v>1549.6875921691521</v>
      </c>
      <c r="K116" s="99">
        <f t="shared" si="54"/>
        <v>0</v>
      </c>
      <c r="L116" s="99" t="s">
        <v>143</v>
      </c>
    </row>
    <row r="117" spans="1:18" hidden="1" outlineLevel="1" x14ac:dyDescent="0.25">
      <c r="A117" t="s">
        <v>181</v>
      </c>
      <c r="B117" s="99">
        <f t="shared" si="45"/>
        <v>0</v>
      </c>
      <c r="C117" s="99">
        <f t="shared" si="46"/>
        <v>0</v>
      </c>
      <c r="D117" s="99">
        <f t="shared" si="47"/>
        <v>0</v>
      </c>
      <c r="E117" s="99">
        <f t="shared" si="48"/>
        <v>0</v>
      </c>
      <c r="F117" s="99">
        <f t="shared" si="49"/>
        <v>0</v>
      </c>
      <c r="G117" s="99">
        <f t="shared" si="50"/>
        <v>0</v>
      </c>
      <c r="H117" s="99">
        <f t="shared" si="51"/>
        <v>0</v>
      </c>
      <c r="I117" s="99">
        <f t="shared" si="52"/>
        <v>0</v>
      </c>
      <c r="J117" s="99">
        <f t="shared" si="53"/>
        <v>0</v>
      </c>
      <c r="K117" s="99">
        <f t="shared" si="54"/>
        <v>0</v>
      </c>
      <c r="L117" s="99" t="s">
        <v>143</v>
      </c>
    </row>
    <row r="118" spans="1:18" hidden="1" outlineLevel="1" x14ac:dyDescent="0.25">
      <c r="A118" t="s">
        <v>182</v>
      </c>
      <c r="B118" s="99">
        <f t="shared" si="45"/>
        <v>0</v>
      </c>
      <c r="C118" s="99">
        <f t="shared" si="46"/>
        <v>0</v>
      </c>
      <c r="D118" s="99">
        <f t="shared" si="47"/>
        <v>0</v>
      </c>
      <c r="E118" s="99">
        <f t="shared" si="48"/>
        <v>0</v>
      </c>
      <c r="F118" s="99">
        <f t="shared" si="49"/>
        <v>0</v>
      </c>
      <c r="G118" s="99">
        <f t="shared" si="50"/>
        <v>0</v>
      </c>
      <c r="H118" s="99">
        <f t="shared" si="51"/>
        <v>0</v>
      </c>
      <c r="I118" s="99">
        <f t="shared" si="52"/>
        <v>0</v>
      </c>
      <c r="J118" s="99">
        <f t="shared" si="53"/>
        <v>0</v>
      </c>
      <c r="K118" s="99">
        <f t="shared" si="54"/>
        <v>0</v>
      </c>
      <c r="L118" s="99" t="s">
        <v>143</v>
      </c>
    </row>
    <row r="119" spans="1:18" hidden="1" outlineLevel="1" x14ac:dyDescent="0.25">
      <c r="A119" t="s">
        <v>183</v>
      </c>
      <c r="B119" s="99">
        <f t="shared" si="45"/>
        <v>0</v>
      </c>
      <c r="C119" s="99">
        <f t="shared" si="46"/>
        <v>0</v>
      </c>
      <c r="D119" s="99">
        <f t="shared" si="47"/>
        <v>0</v>
      </c>
      <c r="E119" s="99">
        <f t="shared" si="48"/>
        <v>0</v>
      </c>
      <c r="F119" s="99">
        <f t="shared" si="49"/>
        <v>0</v>
      </c>
      <c r="G119" s="99">
        <f t="shared" si="50"/>
        <v>0</v>
      </c>
      <c r="H119" s="99">
        <f t="shared" si="51"/>
        <v>0</v>
      </c>
      <c r="I119" s="99">
        <f t="shared" si="52"/>
        <v>0</v>
      </c>
      <c r="J119" s="99">
        <f t="shared" si="53"/>
        <v>0</v>
      </c>
      <c r="K119" s="99">
        <f t="shared" si="54"/>
        <v>0</v>
      </c>
      <c r="L119" s="99" t="s">
        <v>143</v>
      </c>
    </row>
    <row r="120" spans="1:18" hidden="1" outlineLevel="1" x14ac:dyDescent="0.25">
      <c r="A120" t="s">
        <v>184</v>
      </c>
      <c r="B120" s="99">
        <f t="shared" si="45"/>
        <v>0</v>
      </c>
      <c r="C120" s="99">
        <f t="shared" si="46"/>
        <v>0</v>
      </c>
      <c r="D120" s="99">
        <f t="shared" si="47"/>
        <v>0</v>
      </c>
      <c r="E120" s="99">
        <f t="shared" si="48"/>
        <v>0</v>
      </c>
      <c r="F120" s="99">
        <f t="shared" si="49"/>
        <v>0</v>
      </c>
      <c r="G120" s="99">
        <f t="shared" si="50"/>
        <v>0</v>
      </c>
      <c r="H120" s="99">
        <f t="shared" si="51"/>
        <v>0</v>
      </c>
      <c r="I120" s="99">
        <f t="shared" si="52"/>
        <v>0</v>
      </c>
      <c r="J120" s="99">
        <f t="shared" si="53"/>
        <v>0</v>
      </c>
      <c r="K120" s="99">
        <f t="shared" si="54"/>
        <v>0</v>
      </c>
      <c r="L120" s="99" t="s">
        <v>143</v>
      </c>
    </row>
    <row r="121" spans="1:18" hidden="1" outlineLevel="1" x14ac:dyDescent="0.25">
      <c r="A121" t="s">
        <v>185</v>
      </c>
      <c r="B121" s="99">
        <f t="shared" si="45"/>
        <v>0</v>
      </c>
      <c r="C121" s="99">
        <f t="shared" si="46"/>
        <v>0</v>
      </c>
      <c r="D121" s="99">
        <f t="shared" si="47"/>
        <v>0</v>
      </c>
      <c r="E121" s="99">
        <f t="shared" si="48"/>
        <v>0</v>
      </c>
      <c r="F121" s="99">
        <f t="shared" si="49"/>
        <v>0</v>
      </c>
      <c r="G121" s="99">
        <f t="shared" si="50"/>
        <v>0</v>
      </c>
      <c r="H121" s="99">
        <f t="shared" si="51"/>
        <v>0</v>
      </c>
      <c r="I121" s="99">
        <f t="shared" si="52"/>
        <v>0</v>
      </c>
      <c r="J121" s="99">
        <f t="shared" si="53"/>
        <v>0</v>
      </c>
      <c r="K121" s="99">
        <f t="shared" si="54"/>
        <v>0</v>
      </c>
      <c r="L121" s="99" t="s">
        <v>143</v>
      </c>
    </row>
    <row r="122" spans="1:18" hidden="1" outlineLevel="1" x14ac:dyDescent="0.25">
      <c r="A122" s="5" t="s">
        <v>189</v>
      </c>
      <c r="B122" s="102">
        <f>SUM(B102:B121)</f>
        <v>0</v>
      </c>
      <c r="C122" s="102">
        <f t="shared" ref="C122:K122" si="55">SUM(C102:C121)</f>
        <v>0</v>
      </c>
      <c r="D122" s="102">
        <f t="shared" si="55"/>
        <v>48121.877862094712</v>
      </c>
      <c r="E122" s="102">
        <f t="shared" si="55"/>
        <v>37926.564755718726</v>
      </c>
      <c r="F122" s="102">
        <f t="shared" si="55"/>
        <v>183515.63591476803</v>
      </c>
      <c r="G122" s="102">
        <f t="shared" si="55"/>
        <v>115003.13183992132</v>
      </c>
      <c r="H122" s="102">
        <f t="shared" si="55"/>
        <v>51996.096842517589</v>
      </c>
      <c r="I122" s="102">
        <f t="shared" si="55"/>
        <v>83193.754948028189</v>
      </c>
      <c r="J122" s="102">
        <f t="shared" si="55"/>
        <v>23245.313882537284</v>
      </c>
      <c r="K122" s="102">
        <f t="shared" si="55"/>
        <v>0</v>
      </c>
      <c r="L122" s="5" t="s">
        <v>187</v>
      </c>
    </row>
    <row r="123" spans="1:18" hidden="1" outlineLevel="1" x14ac:dyDescent="0.25">
      <c r="B123" s="99"/>
      <c r="C123" s="99"/>
      <c r="D123" s="99"/>
      <c r="E123" s="99"/>
      <c r="F123" s="99"/>
      <c r="G123" s="99"/>
      <c r="H123" s="99"/>
      <c r="I123" s="99"/>
      <c r="J123" s="99"/>
      <c r="K123" s="99"/>
    </row>
    <row r="124" spans="1:18" hidden="1" outlineLevel="1" x14ac:dyDescent="0.25">
      <c r="A124" s="5" t="s">
        <v>191</v>
      </c>
      <c r="B124" s="99"/>
      <c r="C124" s="99"/>
      <c r="D124" s="99"/>
      <c r="E124" s="99"/>
      <c r="F124" s="99"/>
      <c r="G124" s="99"/>
      <c r="H124" s="99"/>
      <c r="I124" s="99"/>
      <c r="J124" s="99"/>
      <c r="K124" s="99"/>
    </row>
    <row r="125" spans="1:18" hidden="1" outlineLevel="1" x14ac:dyDescent="0.25">
      <c r="A125" t="s">
        <v>166</v>
      </c>
      <c r="B125" s="99">
        <f t="shared" ref="B125:D125" si="56">IF($B$6=0,B55+B78+B31,B55+B78+B102)</f>
        <v>26037.500000000004</v>
      </c>
      <c r="C125" s="99">
        <f t="shared" si="56"/>
        <v>19333.491161616163</v>
      </c>
      <c r="D125" s="99">
        <f t="shared" si="56"/>
        <v>26310.842582110665</v>
      </c>
      <c r="E125" s="99">
        <f>IF($B$6=0,E55+E78+E31,E55+E78+E102)</f>
        <v>20695.626614767381</v>
      </c>
      <c r="F125" s="99">
        <f t="shared" ref="F125:K125" si="57">IF($B$6=0,F55+F78+F31,F55+F78+F102)</f>
        <v>22023.05816008363</v>
      </c>
      <c r="G125" s="99">
        <f t="shared" si="57"/>
        <v>18719.846767470164</v>
      </c>
      <c r="H125" s="99">
        <f t="shared" si="57"/>
        <v>17210.156456167839</v>
      </c>
      <c r="I125" s="99">
        <f t="shared" si="57"/>
        <v>25134.409717276372</v>
      </c>
      <c r="J125" s="99">
        <f t="shared" si="57"/>
        <v>18974.687592169154</v>
      </c>
      <c r="K125" s="99">
        <f t="shared" si="57"/>
        <v>18151.821967446773</v>
      </c>
      <c r="L125" s="99" t="s">
        <v>143</v>
      </c>
      <c r="R125" s="99"/>
    </row>
    <row r="126" spans="1:18" hidden="1" outlineLevel="1" x14ac:dyDescent="0.25">
      <c r="A126" t="s">
        <v>167</v>
      </c>
      <c r="B126" s="99">
        <f t="shared" ref="B126:K141" si="58">IF($B$6=0,B56+B79,B56+B79+B103)</f>
        <v>26037.500000000004</v>
      </c>
      <c r="C126" s="99">
        <f t="shared" si="58"/>
        <v>19333.491161616163</v>
      </c>
      <c r="D126" s="99">
        <f t="shared" si="58"/>
        <v>26310.842582110665</v>
      </c>
      <c r="E126" s="99">
        <f t="shared" si="58"/>
        <v>20695.626614767381</v>
      </c>
      <c r="F126" s="99">
        <f t="shared" si="58"/>
        <v>22023.05816008363</v>
      </c>
      <c r="G126" s="99">
        <f t="shared" si="58"/>
        <v>18719.846767470164</v>
      </c>
      <c r="H126" s="99">
        <f t="shared" si="58"/>
        <v>17210.156456167839</v>
      </c>
      <c r="I126" s="99">
        <f t="shared" si="58"/>
        <v>25134.409717276372</v>
      </c>
      <c r="J126" s="99">
        <f t="shared" si="58"/>
        <v>18974.687592169154</v>
      </c>
      <c r="K126" s="99">
        <f t="shared" si="58"/>
        <v>18151.821967446773</v>
      </c>
      <c r="L126" s="99" t="s">
        <v>143</v>
      </c>
    </row>
    <row r="127" spans="1:18" hidden="1" outlineLevel="1" x14ac:dyDescent="0.25">
      <c r="A127" t="s">
        <v>168</v>
      </c>
      <c r="B127" s="99">
        <f t="shared" si="58"/>
        <v>26037.500000000004</v>
      </c>
      <c r="C127" s="99">
        <f t="shared" si="58"/>
        <v>19333.491161616163</v>
      </c>
      <c r="D127" s="99">
        <f t="shared" si="58"/>
        <v>26310.842582110665</v>
      </c>
      <c r="E127" s="99">
        <f t="shared" si="58"/>
        <v>20695.626614767381</v>
      </c>
      <c r="F127" s="99">
        <f t="shared" si="58"/>
        <v>22023.05816008363</v>
      </c>
      <c r="G127" s="99">
        <f t="shared" si="58"/>
        <v>18719.846767470164</v>
      </c>
      <c r="H127" s="99">
        <f t="shared" si="58"/>
        <v>17210.156456167839</v>
      </c>
      <c r="I127" s="99">
        <f t="shared" si="58"/>
        <v>25134.409717276372</v>
      </c>
      <c r="J127" s="99">
        <f t="shared" si="58"/>
        <v>18974.687592169154</v>
      </c>
      <c r="K127" s="99">
        <f t="shared" si="58"/>
        <v>18151.821967446773</v>
      </c>
      <c r="L127" s="99" t="s">
        <v>143</v>
      </c>
    </row>
    <row r="128" spans="1:18" hidden="1" outlineLevel="1" x14ac:dyDescent="0.25">
      <c r="A128" t="s">
        <v>169</v>
      </c>
      <c r="B128" s="99">
        <f t="shared" si="58"/>
        <v>26037.500000000004</v>
      </c>
      <c r="C128" s="99">
        <f t="shared" si="58"/>
        <v>19333.491161616163</v>
      </c>
      <c r="D128" s="99">
        <f t="shared" si="58"/>
        <v>26310.842582110665</v>
      </c>
      <c r="E128" s="99">
        <f t="shared" si="58"/>
        <v>20695.626614767381</v>
      </c>
      <c r="F128" s="99">
        <f t="shared" si="58"/>
        <v>22023.05816008363</v>
      </c>
      <c r="G128" s="99">
        <f t="shared" si="58"/>
        <v>18719.846767470164</v>
      </c>
      <c r="H128" s="99">
        <f t="shared" si="58"/>
        <v>17210.156456167839</v>
      </c>
      <c r="I128" s="99">
        <f t="shared" si="58"/>
        <v>25134.409717276372</v>
      </c>
      <c r="J128" s="99">
        <f t="shared" si="58"/>
        <v>18974.687592169154</v>
      </c>
      <c r="K128" s="99">
        <f t="shared" si="58"/>
        <v>18151.821967446773</v>
      </c>
      <c r="L128" s="99" t="s">
        <v>143</v>
      </c>
    </row>
    <row r="129" spans="1:13" hidden="1" outlineLevel="1" x14ac:dyDescent="0.25">
      <c r="A129" t="s">
        <v>170</v>
      </c>
      <c r="B129" s="99">
        <f t="shared" si="58"/>
        <v>26037.500000000004</v>
      </c>
      <c r="C129" s="99">
        <f t="shared" si="58"/>
        <v>19333.491161616163</v>
      </c>
      <c r="D129" s="99">
        <f t="shared" si="58"/>
        <v>26310.842582110665</v>
      </c>
      <c r="E129" s="99">
        <f t="shared" si="58"/>
        <v>20695.626614767381</v>
      </c>
      <c r="F129" s="99">
        <f t="shared" si="58"/>
        <v>22023.05816008363</v>
      </c>
      <c r="G129" s="99">
        <f t="shared" si="58"/>
        <v>18719.846767470164</v>
      </c>
      <c r="H129" s="99">
        <f t="shared" si="58"/>
        <v>17210.156456167839</v>
      </c>
      <c r="I129" s="99">
        <f t="shared" si="58"/>
        <v>25134.409717276372</v>
      </c>
      <c r="J129" s="99">
        <f t="shared" si="58"/>
        <v>18974.687592169154</v>
      </c>
      <c r="K129" s="99">
        <f t="shared" si="58"/>
        <v>18151.821967446773</v>
      </c>
      <c r="L129" s="99" t="s">
        <v>143</v>
      </c>
    </row>
    <row r="130" spans="1:13" hidden="1" outlineLevel="1" x14ac:dyDescent="0.25">
      <c r="A130" t="s">
        <v>171</v>
      </c>
      <c r="B130" s="99">
        <f t="shared" si="58"/>
        <v>26037.500000000004</v>
      </c>
      <c r="C130" s="99">
        <f t="shared" si="58"/>
        <v>19333.491161616163</v>
      </c>
      <c r="D130" s="99">
        <f t="shared" si="58"/>
        <v>26310.842582110665</v>
      </c>
      <c r="E130" s="99">
        <f t="shared" si="58"/>
        <v>20695.626614767381</v>
      </c>
      <c r="F130" s="99">
        <f t="shared" si="58"/>
        <v>22023.05816008363</v>
      </c>
      <c r="G130" s="99">
        <f t="shared" si="58"/>
        <v>18719.846767470164</v>
      </c>
      <c r="H130" s="99">
        <f t="shared" si="58"/>
        <v>17210.156456167839</v>
      </c>
      <c r="I130" s="99">
        <f t="shared" si="58"/>
        <v>25134.409717276372</v>
      </c>
      <c r="J130" s="99">
        <f t="shared" si="58"/>
        <v>18974.687592169154</v>
      </c>
      <c r="K130" s="99">
        <f t="shared" si="58"/>
        <v>18151.821967446773</v>
      </c>
      <c r="L130" s="99" t="s">
        <v>143</v>
      </c>
    </row>
    <row r="131" spans="1:13" hidden="1" outlineLevel="1" x14ac:dyDescent="0.25">
      <c r="A131" t="s">
        <v>172</v>
      </c>
      <c r="B131" s="99">
        <f t="shared" si="58"/>
        <v>26037.500000000004</v>
      </c>
      <c r="C131" s="99">
        <f t="shared" si="58"/>
        <v>19333.491161616163</v>
      </c>
      <c r="D131" s="99">
        <f t="shared" si="58"/>
        <v>26310.842582110665</v>
      </c>
      <c r="E131" s="99">
        <f t="shared" si="58"/>
        <v>20695.626614767381</v>
      </c>
      <c r="F131" s="99">
        <f t="shared" si="58"/>
        <v>22023.05816008363</v>
      </c>
      <c r="G131" s="99">
        <f t="shared" si="58"/>
        <v>18719.846767470164</v>
      </c>
      <c r="H131" s="99">
        <f t="shared" si="58"/>
        <v>17210.156456167839</v>
      </c>
      <c r="I131" s="99">
        <f t="shared" si="58"/>
        <v>25134.409717276372</v>
      </c>
      <c r="J131" s="99">
        <f t="shared" si="58"/>
        <v>18974.687592169154</v>
      </c>
      <c r="K131" s="99">
        <f t="shared" si="58"/>
        <v>18151.821967446773</v>
      </c>
      <c r="L131" s="99" t="s">
        <v>143</v>
      </c>
    </row>
    <row r="132" spans="1:13" hidden="1" outlineLevel="1" x14ac:dyDescent="0.25">
      <c r="A132" t="s">
        <v>173</v>
      </c>
      <c r="B132" s="99">
        <f t="shared" si="58"/>
        <v>26037.500000000004</v>
      </c>
      <c r="C132" s="99">
        <f t="shared" si="58"/>
        <v>19333.491161616163</v>
      </c>
      <c r="D132" s="99">
        <f t="shared" si="58"/>
        <v>26310.842582110665</v>
      </c>
      <c r="E132" s="99">
        <f t="shared" si="58"/>
        <v>20695.626614767381</v>
      </c>
      <c r="F132" s="99">
        <f t="shared" si="58"/>
        <v>22023.05816008363</v>
      </c>
      <c r="G132" s="99">
        <f t="shared" si="58"/>
        <v>18719.846767470164</v>
      </c>
      <c r="H132" s="99">
        <f t="shared" si="58"/>
        <v>17210.156456167839</v>
      </c>
      <c r="I132" s="99">
        <f t="shared" si="58"/>
        <v>25134.409717276372</v>
      </c>
      <c r="J132" s="99">
        <f t="shared" si="58"/>
        <v>18974.687592169154</v>
      </c>
      <c r="K132" s="99">
        <f t="shared" si="58"/>
        <v>18151.821967446773</v>
      </c>
      <c r="L132" s="99" t="s">
        <v>143</v>
      </c>
    </row>
    <row r="133" spans="1:13" hidden="1" outlineLevel="1" x14ac:dyDescent="0.25">
      <c r="A133" t="s">
        <v>174</v>
      </c>
      <c r="B133" s="99">
        <f t="shared" si="58"/>
        <v>26037.500000000004</v>
      </c>
      <c r="C133" s="99">
        <f t="shared" si="58"/>
        <v>19333.491161616163</v>
      </c>
      <c r="D133" s="99">
        <f t="shared" si="58"/>
        <v>26310.842582110665</v>
      </c>
      <c r="E133" s="99">
        <f t="shared" si="58"/>
        <v>20695.626614767381</v>
      </c>
      <c r="F133" s="99">
        <f t="shared" si="58"/>
        <v>22023.05816008363</v>
      </c>
      <c r="G133" s="99">
        <f t="shared" si="58"/>
        <v>18719.846767470164</v>
      </c>
      <c r="H133" s="99">
        <f t="shared" si="58"/>
        <v>17210.156456167839</v>
      </c>
      <c r="I133" s="99">
        <f t="shared" si="58"/>
        <v>25134.409717276372</v>
      </c>
      <c r="J133" s="99">
        <f t="shared" si="58"/>
        <v>18974.687592169154</v>
      </c>
      <c r="K133" s="99">
        <f t="shared" si="58"/>
        <v>18151.821967446773</v>
      </c>
      <c r="L133" s="99" t="s">
        <v>143</v>
      </c>
      <c r="M133" s="99"/>
    </row>
    <row r="134" spans="1:13" hidden="1" outlineLevel="1" x14ac:dyDescent="0.25">
      <c r="A134" t="s">
        <v>175</v>
      </c>
      <c r="B134" s="99">
        <f t="shared" si="58"/>
        <v>26037.500000000004</v>
      </c>
      <c r="C134" s="99">
        <f t="shared" si="58"/>
        <v>19333.491161616163</v>
      </c>
      <c r="D134" s="99">
        <f t="shared" si="58"/>
        <v>26310.842582110665</v>
      </c>
      <c r="E134" s="99">
        <f t="shared" si="58"/>
        <v>20695.626614767381</v>
      </c>
      <c r="F134" s="99">
        <f t="shared" si="58"/>
        <v>22023.05816008363</v>
      </c>
      <c r="G134" s="99">
        <f t="shared" si="58"/>
        <v>18719.846767470164</v>
      </c>
      <c r="H134" s="99">
        <f t="shared" si="58"/>
        <v>17210.156456167839</v>
      </c>
      <c r="I134" s="99">
        <f t="shared" si="58"/>
        <v>25134.409717276372</v>
      </c>
      <c r="J134" s="99">
        <f t="shared" si="58"/>
        <v>18974.687592169154</v>
      </c>
      <c r="K134" s="99">
        <f t="shared" si="58"/>
        <v>18151.821967446773</v>
      </c>
      <c r="L134" s="99" t="s">
        <v>143</v>
      </c>
    </row>
    <row r="135" spans="1:13" hidden="1" outlineLevel="1" x14ac:dyDescent="0.25">
      <c r="A135" t="s">
        <v>176</v>
      </c>
      <c r="B135" s="99">
        <f t="shared" si="58"/>
        <v>26037.500000000004</v>
      </c>
      <c r="C135" s="99">
        <f t="shared" si="58"/>
        <v>19333.491161616163</v>
      </c>
      <c r="D135" s="99">
        <f t="shared" si="58"/>
        <v>26310.842582110665</v>
      </c>
      <c r="E135" s="99">
        <f t="shared" si="58"/>
        <v>20695.626614767381</v>
      </c>
      <c r="F135" s="99">
        <f t="shared" si="58"/>
        <v>22023.05816008363</v>
      </c>
      <c r="G135" s="99">
        <f t="shared" si="58"/>
        <v>18719.846767470164</v>
      </c>
      <c r="H135" s="99">
        <f t="shared" si="58"/>
        <v>17210.156456167839</v>
      </c>
      <c r="I135" s="99">
        <f t="shared" si="58"/>
        <v>25134.409717276372</v>
      </c>
      <c r="J135" s="99">
        <f t="shared" si="58"/>
        <v>18974.687592169154</v>
      </c>
      <c r="K135" s="99">
        <f t="shared" si="58"/>
        <v>18151.821967446773</v>
      </c>
      <c r="L135" s="99" t="s">
        <v>143</v>
      </c>
    </row>
    <row r="136" spans="1:13" hidden="1" outlineLevel="1" x14ac:dyDescent="0.25">
      <c r="A136" t="s">
        <v>177</v>
      </c>
      <c r="B136" s="99">
        <f t="shared" si="58"/>
        <v>26037.500000000004</v>
      </c>
      <c r="C136" s="99">
        <f t="shared" si="58"/>
        <v>19333.491161616163</v>
      </c>
      <c r="D136" s="99">
        <f t="shared" si="58"/>
        <v>26310.842582110665</v>
      </c>
      <c r="E136" s="99">
        <f t="shared" si="58"/>
        <v>20695.626614767381</v>
      </c>
      <c r="F136" s="99">
        <f t="shared" si="58"/>
        <v>22023.05816008363</v>
      </c>
      <c r="G136" s="99">
        <f t="shared" si="58"/>
        <v>18719.846767470164</v>
      </c>
      <c r="H136" s="99">
        <f t="shared" si="58"/>
        <v>17210.156456167839</v>
      </c>
      <c r="I136" s="99">
        <f t="shared" si="58"/>
        <v>25134.409717276372</v>
      </c>
      <c r="J136" s="99">
        <f t="shared" si="58"/>
        <v>18974.687592169154</v>
      </c>
      <c r="K136" s="99">
        <f t="shared" si="58"/>
        <v>18151.821967446773</v>
      </c>
      <c r="L136" s="99" t="s">
        <v>143</v>
      </c>
    </row>
    <row r="137" spans="1:13" hidden="1" outlineLevel="1" x14ac:dyDescent="0.25">
      <c r="A137" t="s">
        <v>178</v>
      </c>
      <c r="B137" s="99">
        <f t="shared" si="58"/>
        <v>26037.500000000004</v>
      </c>
      <c r="C137" s="99">
        <f t="shared" si="58"/>
        <v>19333.491161616163</v>
      </c>
      <c r="D137" s="99">
        <f t="shared" si="58"/>
        <v>26310.842582110665</v>
      </c>
      <c r="E137" s="99">
        <f t="shared" si="58"/>
        <v>20695.626614767381</v>
      </c>
      <c r="F137" s="99">
        <f t="shared" si="58"/>
        <v>22023.05816008363</v>
      </c>
      <c r="G137" s="99">
        <f t="shared" si="58"/>
        <v>18719.846767470164</v>
      </c>
      <c r="H137" s="99">
        <f t="shared" si="58"/>
        <v>17210.156456167839</v>
      </c>
      <c r="I137" s="99">
        <f t="shared" si="58"/>
        <v>25134.409717276372</v>
      </c>
      <c r="J137" s="99">
        <f t="shared" si="58"/>
        <v>18974.687592169154</v>
      </c>
      <c r="K137" s="99">
        <f t="shared" si="58"/>
        <v>18151.821967446773</v>
      </c>
      <c r="L137" s="99" t="s">
        <v>143</v>
      </c>
    </row>
    <row r="138" spans="1:13" hidden="1" outlineLevel="1" x14ac:dyDescent="0.25">
      <c r="A138" t="s">
        <v>179</v>
      </c>
      <c r="B138" s="99">
        <f t="shared" si="58"/>
        <v>26037.500000000004</v>
      </c>
      <c r="C138" s="99">
        <f t="shared" si="58"/>
        <v>19333.491161616163</v>
      </c>
      <c r="D138" s="99">
        <f t="shared" si="58"/>
        <v>26310.842582110665</v>
      </c>
      <c r="E138" s="99">
        <f t="shared" si="58"/>
        <v>20695.626614767381</v>
      </c>
      <c r="F138" s="99">
        <f t="shared" si="58"/>
        <v>22023.05816008363</v>
      </c>
      <c r="G138" s="99">
        <f t="shared" si="58"/>
        <v>18719.846767470164</v>
      </c>
      <c r="H138" s="99">
        <f t="shared" si="58"/>
        <v>17210.156456167839</v>
      </c>
      <c r="I138" s="99">
        <f t="shared" si="58"/>
        <v>25134.409717276372</v>
      </c>
      <c r="J138" s="99">
        <f t="shared" si="58"/>
        <v>18974.687592169154</v>
      </c>
      <c r="K138" s="99">
        <f t="shared" si="58"/>
        <v>18151.821967446773</v>
      </c>
      <c r="L138" s="99" t="s">
        <v>143</v>
      </c>
    </row>
    <row r="139" spans="1:13" hidden="1" outlineLevel="1" x14ac:dyDescent="0.25">
      <c r="A139" t="s">
        <v>180</v>
      </c>
      <c r="B139" s="99">
        <f t="shared" si="58"/>
        <v>26037.500000000004</v>
      </c>
      <c r="C139" s="99">
        <f t="shared" si="58"/>
        <v>19333.491161616163</v>
      </c>
      <c r="D139" s="99">
        <f t="shared" si="58"/>
        <v>26310.842582110665</v>
      </c>
      <c r="E139" s="99">
        <f t="shared" si="58"/>
        <v>20695.626614767381</v>
      </c>
      <c r="F139" s="99">
        <f t="shared" si="58"/>
        <v>22023.05816008363</v>
      </c>
      <c r="G139" s="99">
        <f t="shared" si="58"/>
        <v>18719.846767470164</v>
      </c>
      <c r="H139" s="99">
        <f t="shared" si="58"/>
        <v>17210.156456167839</v>
      </c>
      <c r="I139" s="99">
        <f t="shared" si="58"/>
        <v>25134.409717276372</v>
      </c>
      <c r="J139" s="99">
        <f t="shared" si="58"/>
        <v>18974.687592169154</v>
      </c>
      <c r="K139" s="99">
        <f t="shared" si="58"/>
        <v>18151.821967446773</v>
      </c>
      <c r="L139" s="99" t="s">
        <v>143</v>
      </c>
    </row>
    <row r="140" spans="1:13" hidden="1" outlineLevel="1" x14ac:dyDescent="0.25">
      <c r="A140" t="s">
        <v>181</v>
      </c>
      <c r="B140" s="99">
        <f t="shared" si="58"/>
        <v>0</v>
      </c>
      <c r="C140" s="99">
        <f t="shared" si="58"/>
        <v>0</v>
      </c>
      <c r="D140" s="99">
        <f t="shared" si="58"/>
        <v>0</v>
      </c>
      <c r="E140" s="99">
        <f t="shared" si="58"/>
        <v>0</v>
      </c>
      <c r="F140" s="99">
        <f t="shared" si="58"/>
        <v>0</v>
      </c>
      <c r="G140" s="99">
        <f t="shared" si="58"/>
        <v>0</v>
      </c>
      <c r="H140" s="99">
        <f t="shared" si="58"/>
        <v>0</v>
      </c>
      <c r="I140" s="99">
        <f t="shared" si="58"/>
        <v>0</v>
      </c>
      <c r="J140" s="99">
        <f t="shared" si="58"/>
        <v>0</v>
      </c>
      <c r="K140" s="99">
        <f t="shared" si="58"/>
        <v>0</v>
      </c>
      <c r="L140" s="99" t="s">
        <v>143</v>
      </c>
    </row>
    <row r="141" spans="1:13" hidden="1" outlineLevel="1" x14ac:dyDescent="0.25">
      <c r="A141" t="s">
        <v>182</v>
      </c>
      <c r="B141" s="99">
        <f t="shared" si="58"/>
        <v>0</v>
      </c>
      <c r="C141" s="99">
        <f t="shared" si="58"/>
        <v>0</v>
      </c>
      <c r="D141" s="99">
        <f t="shared" si="58"/>
        <v>0</v>
      </c>
      <c r="E141" s="99">
        <f t="shared" si="58"/>
        <v>0</v>
      </c>
      <c r="F141" s="99">
        <f t="shared" si="58"/>
        <v>0</v>
      </c>
      <c r="G141" s="99">
        <f t="shared" si="58"/>
        <v>0</v>
      </c>
      <c r="H141" s="99">
        <f t="shared" si="58"/>
        <v>0</v>
      </c>
      <c r="I141" s="99">
        <f t="shared" si="58"/>
        <v>0</v>
      </c>
      <c r="J141" s="99">
        <f t="shared" si="58"/>
        <v>0</v>
      </c>
      <c r="K141" s="99">
        <f t="shared" si="58"/>
        <v>0</v>
      </c>
      <c r="L141" s="99" t="s">
        <v>143</v>
      </c>
    </row>
    <row r="142" spans="1:13" hidden="1" outlineLevel="1" x14ac:dyDescent="0.25">
      <c r="A142" t="s">
        <v>183</v>
      </c>
      <c r="B142" s="99">
        <f t="shared" ref="B142:K144" si="59">IF($B$6=0,B72+B95,B72+B95+B119)</f>
        <v>0</v>
      </c>
      <c r="C142" s="99">
        <f t="shared" si="59"/>
        <v>0</v>
      </c>
      <c r="D142" s="99">
        <f t="shared" si="59"/>
        <v>0</v>
      </c>
      <c r="E142" s="99">
        <f t="shared" si="59"/>
        <v>0</v>
      </c>
      <c r="F142" s="99">
        <f t="shared" si="59"/>
        <v>0</v>
      </c>
      <c r="G142" s="99">
        <f t="shared" si="59"/>
        <v>0</v>
      </c>
      <c r="H142" s="99">
        <f t="shared" si="59"/>
        <v>0</v>
      </c>
      <c r="I142" s="99">
        <f t="shared" si="59"/>
        <v>0</v>
      </c>
      <c r="J142" s="99">
        <f t="shared" si="59"/>
        <v>0</v>
      </c>
      <c r="K142" s="99">
        <f t="shared" si="59"/>
        <v>0</v>
      </c>
      <c r="L142" s="99" t="s">
        <v>143</v>
      </c>
    </row>
    <row r="143" spans="1:13" hidden="1" outlineLevel="1" x14ac:dyDescent="0.25">
      <c r="A143" t="s">
        <v>184</v>
      </c>
      <c r="B143" s="99">
        <f t="shared" si="59"/>
        <v>0</v>
      </c>
      <c r="C143" s="99">
        <f t="shared" si="59"/>
        <v>0</v>
      </c>
      <c r="D143" s="99">
        <f t="shared" si="59"/>
        <v>0</v>
      </c>
      <c r="E143" s="99">
        <f t="shared" si="59"/>
        <v>0</v>
      </c>
      <c r="F143" s="99">
        <f t="shared" si="59"/>
        <v>0</v>
      </c>
      <c r="G143" s="99">
        <f t="shared" si="59"/>
        <v>0</v>
      </c>
      <c r="H143" s="99">
        <f t="shared" si="59"/>
        <v>0</v>
      </c>
      <c r="I143" s="99">
        <f t="shared" si="59"/>
        <v>0</v>
      </c>
      <c r="J143" s="99">
        <f t="shared" si="59"/>
        <v>0</v>
      </c>
      <c r="K143" s="99">
        <f t="shared" si="59"/>
        <v>0</v>
      </c>
      <c r="L143" s="99" t="s">
        <v>143</v>
      </c>
    </row>
    <row r="144" spans="1:13" hidden="1" outlineLevel="1" x14ac:dyDescent="0.25">
      <c r="A144" t="s">
        <v>185</v>
      </c>
      <c r="B144" s="99">
        <f t="shared" si="59"/>
        <v>0</v>
      </c>
      <c r="C144" s="99">
        <f t="shared" si="59"/>
        <v>0</v>
      </c>
      <c r="D144" s="99">
        <f t="shared" si="59"/>
        <v>0</v>
      </c>
      <c r="E144" s="99">
        <f t="shared" si="59"/>
        <v>0</v>
      </c>
      <c r="F144" s="99">
        <f t="shared" si="59"/>
        <v>0</v>
      </c>
      <c r="G144" s="99">
        <f t="shared" si="59"/>
        <v>0</v>
      </c>
      <c r="H144" s="99">
        <f t="shared" si="59"/>
        <v>0</v>
      </c>
      <c r="I144" s="99">
        <f t="shared" si="59"/>
        <v>0</v>
      </c>
      <c r="J144" s="99">
        <f t="shared" si="59"/>
        <v>0</v>
      </c>
      <c r="K144" s="99">
        <f t="shared" si="59"/>
        <v>0</v>
      </c>
      <c r="L144" s="99" t="s">
        <v>143</v>
      </c>
    </row>
    <row r="145" spans="1:12" hidden="1" outlineLevel="1" x14ac:dyDescent="0.25">
      <c r="A145" s="5" t="s">
        <v>189</v>
      </c>
      <c r="B145" s="102">
        <f>SUM(B125:B144)</f>
        <v>390562.50000000006</v>
      </c>
      <c r="C145" s="102">
        <f t="shared" ref="C145:K145" si="60">SUM(C125:C144)</f>
        <v>290002.36742424249</v>
      </c>
      <c r="D145" s="102">
        <f t="shared" si="60"/>
        <v>394662.63873165997</v>
      </c>
      <c r="E145" s="102">
        <f t="shared" si="60"/>
        <v>310434.39922151074</v>
      </c>
      <c r="F145" s="102">
        <f t="shared" si="60"/>
        <v>330345.87240125437</v>
      </c>
      <c r="G145" s="102">
        <f t="shared" si="60"/>
        <v>280797.70151205239</v>
      </c>
      <c r="H145" s="102">
        <f t="shared" si="60"/>
        <v>258152.34684251758</v>
      </c>
      <c r="I145" s="102">
        <f t="shared" si="60"/>
        <v>377016.1457591455</v>
      </c>
      <c r="J145" s="102">
        <f t="shared" si="60"/>
        <v>284620.3138825373</v>
      </c>
      <c r="K145" s="102">
        <f t="shared" si="60"/>
        <v>272277.3295117016</v>
      </c>
      <c r="L145" s="5" t="s">
        <v>187</v>
      </c>
    </row>
    <row r="146" spans="1:12" hidden="1" outlineLevel="1" x14ac:dyDescent="0.25">
      <c r="B146" s="99"/>
      <c r="C146" s="99"/>
      <c r="D146" s="99"/>
      <c r="E146" s="99"/>
      <c r="F146" s="99"/>
      <c r="G146" s="99"/>
      <c r="H146" s="99"/>
      <c r="I146" s="99"/>
      <c r="J146" s="99"/>
      <c r="K146" s="99"/>
    </row>
    <row r="147" spans="1:12" hidden="1" outlineLevel="1" x14ac:dyDescent="0.25">
      <c r="A147" s="5" t="s">
        <v>192</v>
      </c>
      <c r="B147" s="99"/>
      <c r="C147" s="99"/>
      <c r="D147" s="99"/>
      <c r="E147" s="99"/>
      <c r="F147" s="99"/>
      <c r="G147" s="99"/>
      <c r="H147" s="99"/>
      <c r="I147" s="99"/>
      <c r="J147" s="99"/>
      <c r="K147" s="99"/>
    </row>
    <row r="148" spans="1:12" hidden="1" outlineLevel="1" x14ac:dyDescent="0.25">
      <c r="A148" s="103">
        <v>1</v>
      </c>
      <c r="B148" s="99">
        <f t="shared" ref="B148:K148" si="61">B125/((1+$B$8)^$A148)</f>
        <v>26037.500000000004</v>
      </c>
      <c r="C148" s="99">
        <f t="shared" si="61"/>
        <v>19333.491161616163</v>
      </c>
      <c r="D148" s="99">
        <f t="shared" si="61"/>
        <v>26310.842582110665</v>
      </c>
      <c r="E148" s="99">
        <f t="shared" si="61"/>
        <v>20695.626614767381</v>
      </c>
      <c r="F148" s="99">
        <f t="shared" si="61"/>
        <v>22023.05816008363</v>
      </c>
      <c r="G148" s="99">
        <f t="shared" si="61"/>
        <v>18719.846767470164</v>
      </c>
      <c r="H148" s="99">
        <f t="shared" si="61"/>
        <v>17210.156456167839</v>
      </c>
      <c r="I148" s="99">
        <f t="shared" si="61"/>
        <v>25134.409717276372</v>
      </c>
      <c r="J148" s="99">
        <f t="shared" si="61"/>
        <v>18974.687592169154</v>
      </c>
      <c r="K148" s="99">
        <f t="shared" si="61"/>
        <v>18151.821967446773</v>
      </c>
      <c r="L148" s="99" t="s">
        <v>143</v>
      </c>
    </row>
    <row r="149" spans="1:12" hidden="1" outlineLevel="1" x14ac:dyDescent="0.25">
      <c r="A149" s="103">
        <v>2</v>
      </c>
      <c r="B149" s="99">
        <f t="shared" ref="B149:K149" si="62">B126/((1+$B$8)^$A149)</f>
        <v>26037.500000000004</v>
      </c>
      <c r="C149" s="99">
        <f t="shared" si="62"/>
        <v>19333.491161616163</v>
      </c>
      <c r="D149" s="99">
        <f t="shared" si="62"/>
        <v>26310.842582110665</v>
      </c>
      <c r="E149" s="99">
        <f t="shared" si="62"/>
        <v>20695.626614767381</v>
      </c>
      <c r="F149" s="99">
        <f t="shared" si="62"/>
        <v>22023.05816008363</v>
      </c>
      <c r="G149" s="99">
        <f t="shared" si="62"/>
        <v>18719.846767470164</v>
      </c>
      <c r="H149" s="99">
        <f t="shared" si="62"/>
        <v>17210.156456167839</v>
      </c>
      <c r="I149" s="99">
        <f t="shared" si="62"/>
        <v>25134.409717276372</v>
      </c>
      <c r="J149" s="99">
        <f t="shared" si="62"/>
        <v>18974.687592169154</v>
      </c>
      <c r="K149" s="99">
        <f t="shared" si="62"/>
        <v>18151.821967446773</v>
      </c>
      <c r="L149" s="99" t="s">
        <v>143</v>
      </c>
    </row>
    <row r="150" spans="1:12" hidden="1" outlineLevel="1" x14ac:dyDescent="0.25">
      <c r="A150" s="103">
        <v>3</v>
      </c>
      <c r="B150" s="99">
        <f t="shared" ref="B150:K150" si="63">B127/((1+$B$8)^$A150)</f>
        <v>26037.500000000004</v>
      </c>
      <c r="C150" s="99">
        <f t="shared" si="63"/>
        <v>19333.491161616163</v>
      </c>
      <c r="D150" s="99">
        <f t="shared" si="63"/>
        <v>26310.842582110665</v>
      </c>
      <c r="E150" s="99">
        <f t="shared" si="63"/>
        <v>20695.626614767381</v>
      </c>
      <c r="F150" s="99">
        <f t="shared" si="63"/>
        <v>22023.05816008363</v>
      </c>
      <c r="G150" s="99">
        <f t="shared" si="63"/>
        <v>18719.846767470164</v>
      </c>
      <c r="H150" s="99">
        <f t="shared" si="63"/>
        <v>17210.156456167839</v>
      </c>
      <c r="I150" s="99">
        <f t="shared" si="63"/>
        <v>25134.409717276372</v>
      </c>
      <c r="J150" s="99">
        <f t="shared" si="63"/>
        <v>18974.687592169154</v>
      </c>
      <c r="K150" s="99">
        <f t="shared" si="63"/>
        <v>18151.821967446773</v>
      </c>
      <c r="L150" s="99" t="s">
        <v>143</v>
      </c>
    </row>
    <row r="151" spans="1:12" hidden="1" outlineLevel="1" x14ac:dyDescent="0.25">
      <c r="A151" s="103">
        <v>4</v>
      </c>
      <c r="B151" s="99">
        <f t="shared" ref="B151:K151" si="64">B128/((1+$B$8)^$A151)</f>
        <v>26037.500000000004</v>
      </c>
      <c r="C151" s="99">
        <f t="shared" si="64"/>
        <v>19333.491161616163</v>
      </c>
      <c r="D151" s="99">
        <f t="shared" si="64"/>
        <v>26310.842582110665</v>
      </c>
      <c r="E151" s="99">
        <f t="shared" si="64"/>
        <v>20695.626614767381</v>
      </c>
      <c r="F151" s="99">
        <f t="shared" si="64"/>
        <v>22023.05816008363</v>
      </c>
      <c r="G151" s="99">
        <f t="shared" si="64"/>
        <v>18719.846767470164</v>
      </c>
      <c r="H151" s="99">
        <f t="shared" si="64"/>
        <v>17210.156456167839</v>
      </c>
      <c r="I151" s="99">
        <f t="shared" si="64"/>
        <v>25134.409717276372</v>
      </c>
      <c r="J151" s="99">
        <f t="shared" si="64"/>
        <v>18974.687592169154</v>
      </c>
      <c r="K151" s="99">
        <f t="shared" si="64"/>
        <v>18151.821967446773</v>
      </c>
      <c r="L151" s="99" t="s">
        <v>143</v>
      </c>
    </row>
    <row r="152" spans="1:12" hidden="1" outlineLevel="1" x14ac:dyDescent="0.25">
      <c r="A152" s="103">
        <v>5</v>
      </c>
      <c r="B152" s="99">
        <f t="shared" ref="B152:K152" si="65">B129/((1+$B$8)^$A152)</f>
        <v>26037.500000000004</v>
      </c>
      <c r="C152" s="99">
        <f t="shared" si="65"/>
        <v>19333.491161616163</v>
      </c>
      <c r="D152" s="99">
        <f t="shared" si="65"/>
        <v>26310.842582110665</v>
      </c>
      <c r="E152" s="99">
        <f t="shared" si="65"/>
        <v>20695.626614767381</v>
      </c>
      <c r="F152" s="99">
        <f t="shared" si="65"/>
        <v>22023.05816008363</v>
      </c>
      <c r="G152" s="99">
        <f t="shared" si="65"/>
        <v>18719.846767470164</v>
      </c>
      <c r="H152" s="99">
        <f t="shared" si="65"/>
        <v>17210.156456167839</v>
      </c>
      <c r="I152" s="99">
        <f t="shared" si="65"/>
        <v>25134.409717276372</v>
      </c>
      <c r="J152" s="99">
        <f t="shared" si="65"/>
        <v>18974.687592169154</v>
      </c>
      <c r="K152" s="99">
        <f t="shared" si="65"/>
        <v>18151.821967446773</v>
      </c>
      <c r="L152" s="99" t="s">
        <v>143</v>
      </c>
    </row>
    <row r="153" spans="1:12" hidden="1" outlineLevel="1" x14ac:dyDescent="0.25">
      <c r="A153" s="103">
        <v>6</v>
      </c>
      <c r="B153" s="99">
        <f t="shared" ref="B153:K153" si="66">B130/((1+$B$8)^$A153)</f>
        <v>26037.500000000004</v>
      </c>
      <c r="C153" s="99">
        <f t="shared" si="66"/>
        <v>19333.491161616163</v>
      </c>
      <c r="D153" s="99">
        <f t="shared" si="66"/>
        <v>26310.842582110665</v>
      </c>
      <c r="E153" s="99">
        <f t="shared" si="66"/>
        <v>20695.626614767381</v>
      </c>
      <c r="F153" s="99">
        <f t="shared" si="66"/>
        <v>22023.05816008363</v>
      </c>
      <c r="G153" s="99">
        <f t="shared" si="66"/>
        <v>18719.846767470164</v>
      </c>
      <c r="H153" s="99">
        <f t="shared" si="66"/>
        <v>17210.156456167839</v>
      </c>
      <c r="I153" s="99">
        <f t="shared" si="66"/>
        <v>25134.409717276372</v>
      </c>
      <c r="J153" s="99">
        <f t="shared" si="66"/>
        <v>18974.687592169154</v>
      </c>
      <c r="K153" s="99">
        <f t="shared" si="66"/>
        <v>18151.821967446773</v>
      </c>
      <c r="L153" s="99" t="s">
        <v>143</v>
      </c>
    </row>
    <row r="154" spans="1:12" hidden="1" outlineLevel="1" x14ac:dyDescent="0.25">
      <c r="A154" s="103">
        <v>7</v>
      </c>
      <c r="B154" s="99">
        <f t="shared" ref="B154:K154" si="67">B131/((1+$B$8)^$A154)</f>
        <v>26037.500000000004</v>
      </c>
      <c r="C154" s="99">
        <f t="shared" si="67"/>
        <v>19333.491161616163</v>
      </c>
      <c r="D154" s="99">
        <f t="shared" si="67"/>
        <v>26310.842582110665</v>
      </c>
      <c r="E154" s="99">
        <f t="shared" si="67"/>
        <v>20695.626614767381</v>
      </c>
      <c r="F154" s="99">
        <f t="shared" si="67"/>
        <v>22023.05816008363</v>
      </c>
      <c r="G154" s="99">
        <f t="shared" si="67"/>
        <v>18719.846767470164</v>
      </c>
      <c r="H154" s="99">
        <f t="shared" si="67"/>
        <v>17210.156456167839</v>
      </c>
      <c r="I154" s="99">
        <f t="shared" si="67"/>
        <v>25134.409717276372</v>
      </c>
      <c r="J154" s="99">
        <f t="shared" si="67"/>
        <v>18974.687592169154</v>
      </c>
      <c r="K154" s="99">
        <f t="shared" si="67"/>
        <v>18151.821967446773</v>
      </c>
      <c r="L154" s="99" t="s">
        <v>143</v>
      </c>
    </row>
    <row r="155" spans="1:12" hidden="1" outlineLevel="1" x14ac:dyDescent="0.25">
      <c r="A155" s="103">
        <v>8</v>
      </c>
      <c r="B155" s="99">
        <f t="shared" ref="B155:K155" si="68">B132/((1+$B$8)^$A155)</f>
        <v>26037.500000000004</v>
      </c>
      <c r="C155" s="99">
        <f t="shared" si="68"/>
        <v>19333.491161616163</v>
      </c>
      <c r="D155" s="99">
        <f t="shared" si="68"/>
        <v>26310.842582110665</v>
      </c>
      <c r="E155" s="99">
        <f t="shared" si="68"/>
        <v>20695.626614767381</v>
      </c>
      <c r="F155" s="99">
        <f t="shared" si="68"/>
        <v>22023.05816008363</v>
      </c>
      <c r="G155" s="99">
        <f t="shared" si="68"/>
        <v>18719.846767470164</v>
      </c>
      <c r="H155" s="99">
        <f t="shared" si="68"/>
        <v>17210.156456167839</v>
      </c>
      <c r="I155" s="99">
        <f t="shared" si="68"/>
        <v>25134.409717276372</v>
      </c>
      <c r="J155" s="99">
        <f t="shared" si="68"/>
        <v>18974.687592169154</v>
      </c>
      <c r="K155" s="99">
        <f t="shared" si="68"/>
        <v>18151.821967446773</v>
      </c>
      <c r="L155" s="99" t="s">
        <v>143</v>
      </c>
    </row>
    <row r="156" spans="1:12" hidden="1" outlineLevel="1" x14ac:dyDescent="0.25">
      <c r="A156" s="103">
        <v>9</v>
      </c>
      <c r="B156" s="99">
        <f t="shared" ref="B156:K156" si="69">B133/((1+$B$8)^$A156)</f>
        <v>26037.500000000004</v>
      </c>
      <c r="C156" s="99">
        <f t="shared" si="69"/>
        <v>19333.491161616163</v>
      </c>
      <c r="D156" s="99">
        <f t="shared" si="69"/>
        <v>26310.842582110665</v>
      </c>
      <c r="E156" s="99">
        <f t="shared" si="69"/>
        <v>20695.626614767381</v>
      </c>
      <c r="F156" s="99">
        <f t="shared" si="69"/>
        <v>22023.05816008363</v>
      </c>
      <c r="G156" s="99">
        <f t="shared" si="69"/>
        <v>18719.846767470164</v>
      </c>
      <c r="H156" s="99">
        <f t="shared" si="69"/>
        <v>17210.156456167839</v>
      </c>
      <c r="I156" s="99">
        <f t="shared" si="69"/>
        <v>25134.409717276372</v>
      </c>
      <c r="J156" s="99">
        <f t="shared" si="69"/>
        <v>18974.687592169154</v>
      </c>
      <c r="K156" s="99">
        <f t="shared" si="69"/>
        <v>18151.821967446773</v>
      </c>
      <c r="L156" s="99" t="s">
        <v>143</v>
      </c>
    </row>
    <row r="157" spans="1:12" hidden="1" outlineLevel="1" x14ac:dyDescent="0.25">
      <c r="A157" s="103">
        <v>10</v>
      </c>
      <c r="B157" s="99">
        <f t="shared" ref="B157:K157" si="70">B134/((1+$B$8)^$A157)</f>
        <v>26037.500000000004</v>
      </c>
      <c r="C157" s="99">
        <f t="shared" si="70"/>
        <v>19333.491161616163</v>
      </c>
      <c r="D157" s="99">
        <f t="shared" si="70"/>
        <v>26310.842582110665</v>
      </c>
      <c r="E157" s="99">
        <f t="shared" si="70"/>
        <v>20695.626614767381</v>
      </c>
      <c r="F157" s="99">
        <f t="shared" si="70"/>
        <v>22023.05816008363</v>
      </c>
      <c r="G157" s="99">
        <f t="shared" si="70"/>
        <v>18719.846767470164</v>
      </c>
      <c r="H157" s="99">
        <f t="shared" si="70"/>
        <v>17210.156456167839</v>
      </c>
      <c r="I157" s="99">
        <f t="shared" si="70"/>
        <v>25134.409717276372</v>
      </c>
      <c r="J157" s="99">
        <f t="shared" si="70"/>
        <v>18974.687592169154</v>
      </c>
      <c r="K157" s="99">
        <f t="shared" si="70"/>
        <v>18151.821967446773</v>
      </c>
      <c r="L157" s="99" t="s">
        <v>143</v>
      </c>
    </row>
    <row r="158" spans="1:12" hidden="1" outlineLevel="1" x14ac:dyDescent="0.25">
      <c r="A158" s="103">
        <v>11</v>
      </c>
      <c r="B158" s="99">
        <f t="shared" ref="B158:K158" si="71">B135/((1+$B$8)^$A158)</f>
        <v>26037.500000000004</v>
      </c>
      <c r="C158" s="99">
        <f t="shared" si="71"/>
        <v>19333.491161616163</v>
      </c>
      <c r="D158" s="99">
        <f t="shared" si="71"/>
        <v>26310.842582110665</v>
      </c>
      <c r="E158" s="99">
        <f t="shared" si="71"/>
        <v>20695.626614767381</v>
      </c>
      <c r="F158" s="99">
        <f t="shared" si="71"/>
        <v>22023.05816008363</v>
      </c>
      <c r="G158" s="99">
        <f t="shared" si="71"/>
        <v>18719.846767470164</v>
      </c>
      <c r="H158" s="99">
        <f t="shared" si="71"/>
        <v>17210.156456167839</v>
      </c>
      <c r="I158" s="99">
        <f t="shared" si="71"/>
        <v>25134.409717276372</v>
      </c>
      <c r="J158" s="99">
        <f t="shared" si="71"/>
        <v>18974.687592169154</v>
      </c>
      <c r="K158" s="99">
        <f t="shared" si="71"/>
        <v>18151.821967446773</v>
      </c>
      <c r="L158" s="99" t="s">
        <v>143</v>
      </c>
    </row>
    <row r="159" spans="1:12" hidden="1" outlineLevel="1" x14ac:dyDescent="0.25">
      <c r="A159" s="103">
        <v>12</v>
      </c>
      <c r="B159" s="99">
        <f t="shared" ref="B159:K159" si="72">B136/((1+$B$8)^$A159)</f>
        <v>26037.500000000004</v>
      </c>
      <c r="C159" s="99">
        <f t="shared" si="72"/>
        <v>19333.491161616163</v>
      </c>
      <c r="D159" s="99">
        <f t="shared" si="72"/>
        <v>26310.842582110665</v>
      </c>
      <c r="E159" s="99">
        <f t="shared" si="72"/>
        <v>20695.626614767381</v>
      </c>
      <c r="F159" s="99">
        <f t="shared" si="72"/>
        <v>22023.05816008363</v>
      </c>
      <c r="G159" s="99">
        <f t="shared" si="72"/>
        <v>18719.846767470164</v>
      </c>
      <c r="H159" s="99">
        <f t="shared" si="72"/>
        <v>17210.156456167839</v>
      </c>
      <c r="I159" s="99">
        <f t="shared" si="72"/>
        <v>25134.409717276372</v>
      </c>
      <c r="J159" s="99">
        <f t="shared" si="72"/>
        <v>18974.687592169154</v>
      </c>
      <c r="K159" s="99">
        <f t="shared" si="72"/>
        <v>18151.821967446773</v>
      </c>
      <c r="L159" s="99" t="s">
        <v>143</v>
      </c>
    </row>
    <row r="160" spans="1:12" hidden="1" outlineLevel="1" x14ac:dyDescent="0.25">
      <c r="A160" s="103">
        <v>13</v>
      </c>
      <c r="B160" s="99">
        <f t="shared" ref="B160:K160" si="73">B137/((1+$B$8)^$A160)</f>
        <v>26037.500000000004</v>
      </c>
      <c r="C160" s="99">
        <f t="shared" si="73"/>
        <v>19333.491161616163</v>
      </c>
      <c r="D160" s="99">
        <f t="shared" si="73"/>
        <v>26310.842582110665</v>
      </c>
      <c r="E160" s="99">
        <f t="shared" si="73"/>
        <v>20695.626614767381</v>
      </c>
      <c r="F160" s="99">
        <f t="shared" si="73"/>
        <v>22023.05816008363</v>
      </c>
      <c r="G160" s="99">
        <f t="shared" si="73"/>
        <v>18719.846767470164</v>
      </c>
      <c r="H160" s="99">
        <f t="shared" si="73"/>
        <v>17210.156456167839</v>
      </c>
      <c r="I160" s="99">
        <f t="shared" si="73"/>
        <v>25134.409717276372</v>
      </c>
      <c r="J160" s="99">
        <f t="shared" si="73"/>
        <v>18974.687592169154</v>
      </c>
      <c r="K160" s="99">
        <f t="shared" si="73"/>
        <v>18151.821967446773</v>
      </c>
      <c r="L160" s="99" t="s">
        <v>143</v>
      </c>
    </row>
    <row r="161" spans="1:12" hidden="1" outlineLevel="1" x14ac:dyDescent="0.25">
      <c r="A161" s="103">
        <v>14</v>
      </c>
      <c r="B161" s="99">
        <f t="shared" ref="B161:K161" si="74">B138/((1+$B$8)^$A161)</f>
        <v>26037.500000000004</v>
      </c>
      <c r="C161" s="99">
        <f t="shared" si="74"/>
        <v>19333.491161616163</v>
      </c>
      <c r="D161" s="99">
        <f t="shared" si="74"/>
        <v>26310.842582110665</v>
      </c>
      <c r="E161" s="99">
        <f t="shared" si="74"/>
        <v>20695.626614767381</v>
      </c>
      <c r="F161" s="99">
        <f t="shared" si="74"/>
        <v>22023.05816008363</v>
      </c>
      <c r="G161" s="99">
        <f t="shared" si="74"/>
        <v>18719.846767470164</v>
      </c>
      <c r="H161" s="99">
        <f t="shared" si="74"/>
        <v>17210.156456167839</v>
      </c>
      <c r="I161" s="99">
        <f t="shared" si="74"/>
        <v>25134.409717276372</v>
      </c>
      <c r="J161" s="99">
        <f t="shared" si="74"/>
        <v>18974.687592169154</v>
      </c>
      <c r="K161" s="99">
        <f t="shared" si="74"/>
        <v>18151.821967446773</v>
      </c>
      <c r="L161" s="99" t="s">
        <v>143</v>
      </c>
    </row>
    <row r="162" spans="1:12" hidden="1" outlineLevel="1" x14ac:dyDescent="0.25">
      <c r="A162" s="103">
        <v>15</v>
      </c>
      <c r="B162" s="99">
        <f t="shared" ref="B162:K162" si="75">B139/((1+$B$8)^$A162)</f>
        <v>26037.500000000004</v>
      </c>
      <c r="C162" s="99">
        <f t="shared" si="75"/>
        <v>19333.491161616163</v>
      </c>
      <c r="D162" s="99">
        <f t="shared" si="75"/>
        <v>26310.842582110665</v>
      </c>
      <c r="E162" s="99">
        <f t="shared" si="75"/>
        <v>20695.626614767381</v>
      </c>
      <c r="F162" s="99">
        <f t="shared" si="75"/>
        <v>22023.05816008363</v>
      </c>
      <c r="G162" s="99">
        <f t="shared" si="75"/>
        <v>18719.846767470164</v>
      </c>
      <c r="H162" s="99">
        <f t="shared" si="75"/>
        <v>17210.156456167839</v>
      </c>
      <c r="I162" s="99">
        <f t="shared" si="75"/>
        <v>25134.409717276372</v>
      </c>
      <c r="J162" s="99">
        <f t="shared" si="75"/>
        <v>18974.687592169154</v>
      </c>
      <c r="K162" s="99">
        <f t="shared" si="75"/>
        <v>18151.821967446773</v>
      </c>
      <c r="L162" s="99" t="s">
        <v>143</v>
      </c>
    </row>
    <row r="163" spans="1:12" hidden="1" outlineLevel="1" x14ac:dyDescent="0.25">
      <c r="A163" s="103">
        <v>16</v>
      </c>
      <c r="B163" s="99">
        <f t="shared" ref="B163:K163" si="76">B140/((1+$B$8)^$A163)</f>
        <v>0</v>
      </c>
      <c r="C163" s="99">
        <f t="shared" si="76"/>
        <v>0</v>
      </c>
      <c r="D163" s="99">
        <f t="shared" si="76"/>
        <v>0</v>
      </c>
      <c r="E163" s="99">
        <f t="shared" si="76"/>
        <v>0</v>
      </c>
      <c r="F163" s="99">
        <f t="shared" si="76"/>
        <v>0</v>
      </c>
      <c r="G163" s="99">
        <f t="shared" si="76"/>
        <v>0</v>
      </c>
      <c r="H163" s="99">
        <f t="shared" si="76"/>
        <v>0</v>
      </c>
      <c r="I163" s="99">
        <f t="shared" si="76"/>
        <v>0</v>
      </c>
      <c r="J163" s="99">
        <f t="shared" si="76"/>
        <v>0</v>
      </c>
      <c r="K163" s="99">
        <f t="shared" si="76"/>
        <v>0</v>
      </c>
      <c r="L163" s="99" t="s">
        <v>143</v>
      </c>
    </row>
    <row r="164" spans="1:12" hidden="1" outlineLevel="1" x14ac:dyDescent="0.25">
      <c r="A164" s="103">
        <v>17</v>
      </c>
      <c r="B164" s="99">
        <f t="shared" ref="B164:K164" si="77">B141/((1+$B$8)^$A164)</f>
        <v>0</v>
      </c>
      <c r="C164" s="99">
        <f t="shared" si="77"/>
        <v>0</v>
      </c>
      <c r="D164" s="99">
        <f t="shared" si="77"/>
        <v>0</v>
      </c>
      <c r="E164" s="99">
        <f t="shared" si="77"/>
        <v>0</v>
      </c>
      <c r="F164" s="99">
        <f t="shared" si="77"/>
        <v>0</v>
      </c>
      <c r="G164" s="99">
        <f t="shared" si="77"/>
        <v>0</v>
      </c>
      <c r="H164" s="99">
        <f t="shared" si="77"/>
        <v>0</v>
      </c>
      <c r="I164" s="99">
        <f t="shared" si="77"/>
        <v>0</v>
      </c>
      <c r="J164" s="99">
        <f t="shared" si="77"/>
        <v>0</v>
      </c>
      <c r="K164" s="99">
        <f t="shared" si="77"/>
        <v>0</v>
      </c>
      <c r="L164" s="99" t="s">
        <v>143</v>
      </c>
    </row>
    <row r="165" spans="1:12" hidden="1" outlineLevel="1" x14ac:dyDescent="0.25">
      <c r="A165" s="103">
        <v>18</v>
      </c>
      <c r="B165" s="99">
        <f t="shared" ref="B165:K165" si="78">B142/((1+$B$8)^$A165)</f>
        <v>0</v>
      </c>
      <c r="C165" s="99">
        <f t="shared" si="78"/>
        <v>0</v>
      </c>
      <c r="D165" s="99">
        <f t="shared" si="78"/>
        <v>0</v>
      </c>
      <c r="E165" s="99">
        <f t="shared" si="78"/>
        <v>0</v>
      </c>
      <c r="F165" s="99">
        <f t="shared" si="78"/>
        <v>0</v>
      </c>
      <c r="G165" s="99">
        <f t="shared" si="78"/>
        <v>0</v>
      </c>
      <c r="H165" s="99">
        <f t="shared" si="78"/>
        <v>0</v>
      </c>
      <c r="I165" s="99">
        <f t="shared" si="78"/>
        <v>0</v>
      </c>
      <c r="J165" s="99">
        <f t="shared" si="78"/>
        <v>0</v>
      </c>
      <c r="K165" s="99">
        <f t="shared" si="78"/>
        <v>0</v>
      </c>
      <c r="L165" s="99" t="s">
        <v>143</v>
      </c>
    </row>
    <row r="166" spans="1:12" hidden="1" outlineLevel="1" x14ac:dyDescent="0.25">
      <c r="A166" s="103">
        <v>19</v>
      </c>
      <c r="B166" s="99">
        <f t="shared" ref="B166:K166" si="79">B143/((1+$B$8)^$A166)</f>
        <v>0</v>
      </c>
      <c r="C166" s="99">
        <f t="shared" si="79"/>
        <v>0</v>
      </c>
      <c r="D166" s="99">
        <f t="shared" si="79"/>
        <v>0</v>
      </c>
      <c r="E166" s="99">
        <f t="shared" si="79"/>
        <v>0</v>
      </c>
      <c r="F166" s="99">
        <f t="shared" si="79"/>
        <v>0</v>
      </c>
      <c r="G166" s="99">
        <f t="shared" si="79"/>
        <v>0</v>
      </c>
      <c r="H166" s="99">
        <f t="shared" si="79"/>
        <v>0</v>
      </c>
      <c r="I166" s="99">
        <f t="shared" si="79"/>
        <v>0</v>
      </c>
      <c r="J166" s="99">
        <f t="shared" si="79"/>
        <v>0</v>
      </c>
      <c r="K166" s="99">
        <f t="shared" si="79"/>
        <v>0</v>
      </c>
      <c r="L166" s="99" t="s">
        <v>143</v>
      </c>
    </row>
    <row r="167" spans="1:12" hidden="1" outlineLevel="1" x14ac:dyDescent="0.25">
      <c r="A167" s="103">
        <v>20</v>
      </c>
      <c r="B167" s="99">
        <f t="shared" ref="B167:K167" si="80">B144/((1+$B$8)^$A167)</f>
        <v>0</v>
      </c>
      <c r="C167" s="99">
        <f t="shared" si="80"/>
        <v>0</v>
      </c>
      <c r="D167" s="99">
        <f t="shared" si="80"/>
        <v>0</v>
      </c>
      <c r="E167" s="99">
        <f t="shared" si="80"/>
        <v>0</v>
      </c>
      <c r="F167" s="99">
        <f t="shared" si="80"/>
        <v>0</v>
      </c>
      <c r="G167" s="99">
        <f t="shared" si="80"/>
        <v>0</v>
      </c>
      <c r="H167" s="99">
        <f t="shared" si="80"/>
        <v>0</v>
      </c>
      <c r="I167" s="99">
        <f t="shared" si="80"/>
        <v>0</v>
      </c>
      <c r="J167" s="99">
        <f t="shared" si="80"/>
        <v>0</v>
      </c>
      <c r="K167" s="99">
        <f t="shared" si="80"/>
        <v>0</v>
      </c>
      <c r="L167" s="99" t="s">
        <v>143</v>
      </c>
    </row>
    <row r="168" spans="1:12" ht="21" hidden="1" outlineLevel="1" x14ac:dyDescent="0.35">
      <c r="A168" s="104" t="s">
        <v>193</v>
      </c>
      <c r="B168" s="105">
        <f>SUM(B148:B167)</f>
        <v>390562.50000000006</v>
      </c>
      <c r="C168" s="105">
        <f>SUM(C148:C167)</f>
        <v>290002.36742424249</v>
      </c>
      <c r="D168" s="105">
        <f t="shared" ref="D168:K168" si="81">SUM(D148:D167)</f>
        <v>394662.63873165997</v>
      </c>
      <c r="E168" s="105">
        <f t="shared" si="81"/>
        <v>310434.39922151074</v>
      </c>
      <c r="F168" s="105">
        <f>SUM(F148:F167)</f>
        <v>330345.87240125437</v>
      </c>
      <c r="G168" s="105">
        <f t="shared" si="81"/>
        <v>280797.70151205239</v>
      </c>
      <c r="H168" s="105">
        <f t="shared" si="81"/>
        <v>258152.34684251758</v>
      </c>
      <c r="I168" s="105">
        <f t="shared" si="81"/>
        <v>377016.1457591455</v>
      </c>
      <c r="J168" s="105">
        <f t="shared" si="81"/>
        <v>284620.3138825373</v>
      </c>
      <c r="K168" s="105">
        <f t="shared" si="81"/>
        <v>272277.3295117016</v>
      </c>
      <c r="L168" s="106" t="s">
        <v>187</v>
      </c>
    </row>
    <row r="169" spans="1:12" hidden="1" outlineLevel="1" x14ac:dyDescent="0.25"/>
    <row r="170" spans="1:12" hidden="1" outlineLevel="1" x14ac:dyDescent="0.25">
      <c r="A170" s="107" t="s">
        <v>194</v>
      </c>
      <c r="B170" s="108" t="str">
        <f>B22</f>
        <v>Gl oliefyr</v>
      </c>
      <c r="C170" s="108" t="str">
        <f t="shared" ref="C170:K170" si="82">C22</f>
        <v>Gl Gasfyr</v>
      </c>
      <c r="D170" s="108" t="str">
        <f t="shared" si="82"/>
        <v>Nyt Oliefyr</v>
      </c>
      <c r="E170" s="108" t="str">
        <f t="shared" si="82"/>
        <v>Nyt Gasfyr</v>
      </c>
      <c r="F170" s="108" t="str">
        <f t="shared" si="82"/>
        <v>indv. V/V VP</v>
      </c>
      <c r="G170" s="108" t="str">
        <f t="shared" si="82"/>
        <v>indv. L/V VP</v>
      </c>
      <c r="H170" s="108" t="str">
        <f t="shared" si="82"/>
        <v>indv. L/L VP</v>
      </c>
      <c r="I170" s="108" t="str">
        <f t="shared" si="82"/>
        <v>indv.Træpiller</v>
      </c>
      <c r="J170" s="108" t="str">
        <f t="shared" si="82"/>
        <v>Fjernvarme</v>
      </c>
      <c r="K170" s="108" t="str">
        <f t="shared" si="82"/>
        <v>Fælles ATES + V/V VP</v>
      </c>
      <c r="L170" s="108"/>
    </row>
    <row r="171" spans="1:12" hidden="1" outlineLevel="1" x14ac:dyDescent="0.25">
      <c r="A171" s="108" t="str">
        <f>B170</f>
        <v>Gl oliefyr</v>
      </c>
      <c r="B171" s="109">
        <f>B168-B168</f>
        <v>0</v>
      </c>
      <c r="C171" s="109">
        <f>$B$168-C168</f>
        <v>100560.13257575757</v>
      </c>
      <c r="D171" s="109">
        <f>$B$168-D168</f>
        <v>-4100.1387316599139</v>
      </c>
      <c r="E171" s="109">
        <f t="shared" ref="E171:K171" si="83">$B$168-E168</f>
        <v>80128.100778489315</v>
      </c>
      <c r="F171" s="109">
        <f t="shared" si="83"/>
        <v>60216.62759874569</v>
      </c>
      <c r="G171" s="109">
        <f t="shared" si="83"/>
        <v>109764.79848794767</v>
      </c>
      <c r="H171" s="109">
        <f t="shared" si="83"/>
        <v>132410.15315748248</v>
      </c>
      <c r="I171" s="109">
        <f t="shared" si="83"/>
        <v>13546.354240854562</v>
      </c>
      <c r="J171" s="109">
        <f t="shared" si="83"/>
        <v>105942.18611746276</v>
      </c>
      <c r="K171" s="109">
        <f t="shared" si="83"/>
        <v>118285.17048829846</v>
      </c>
      <c r="L171" s="108" t="s">
        <v>195</v>
      </c>
    </row>
    <row r="172" spans="1:12" hidden="1" outlineLevel="1" x14ac:dyDescent="0.25">
      <c r="A172" s="108" t="str">
        <f>C170</f>
        <v>Gl Gasfyr</v>
      </c>
      <c r="B172" s="109">
        <f>$C$168-B168</f>
        <v>-100560.13257575757</v>
      </c>
      <c r="C172" s="109">
        <f t="shared" ref="C172:K172" si="84">$C$168-C168</f>
        <v>0</v>
      </c>
      <c r="D172" s="109">
        <f t="shared" si="84"/>
        <v>-104660.27130741748</v>
      </c>
      <c r="E172" s="109">
        <f t="shared" si="84"/>
        <v>-20432.031797268253</v>
      </c>
      <c r="F172" s="109">
        <f t="shared" si="84"/>
        <v>-40343.504977011879</v>
      </c>
      <c r="G172" s="109">
        <f t="shared" si="84"/>
        <v>9204.665912190103</v>
      </c>
      <c r="H172" s="109">
        <f t="shared" si="84"/>
        <v>31850.020581724908</v>
      </c>
      <c r="I172" s="109">
        <f t="shared" si="84"/>
        <v>-87013.778334903007</v>
      </c>
      <c r="J172" s="109">
        <f t="shared" si="84"/>
        <v>5382.0535417051869</v>
      </c>
      <c r="K172" s="109">
        <f t="shared" si="84"/>
        <v>17725.037912540894</v>
      </c>
      <c r="L172" s="108" t="s">
        <v>195</v>
      </c>
    </row>
    <row r="173" spans="1:12" hidden="1" outlineLevel="1" x14ac:dyDescent="0.25">
      <c r="A173" s="108" t="str">
        <f>D170</f>
        <v>Nyt Oliefyr</v>
      </c>
      <c r="B173" s="109">
        <f>$D$168-B168</f>
        <v>4100.1387316599139</v>
      </c>
      <c r="C173" s="109">
        <f t="shared" ref="C173:K173" si="85">$D$168-C168</f>
        <v>104660.27130741748</v>
      </c>
      <c r="D173" s="109">
        <f t="shared" si="85"/>
        <v>0</v>
      </c>
      <c r="E173" s="109">
        <f t="shared" si="85"/>
        <v>84228.239510149229</v>
      </c>
      <c r="F173" s="109">
        <f t="shared" si="85"/>
        <v>64316.766330405604</v>
      </c>
      <c r="G173" s="109">
        <f t="shared" si="85"/>
        <v>113864.93721960759</v>
      </c>
      <c r="H173" s="109">
        <f t="shared" si="85"/>
        <v>136510.29188914239</v>
      </c>
      <c r="I173" s="109">
        <f t="shared" si="85"/>
        <v>17646.492972514476</v>
      </c>
      <c r="J173" s="109">
        <f t="shared" si="85"/>
        <v>110042.32484912267</v>
      </c>
      <c r="K173" s="109">
        <f t="shared" si="85"/>
        <v>122385.30921995838</v>
      </c>
      <c r="L173" s="108" t="s">
        <v>195</v>
      </c>
    </row>
    <row r="174" spans="1:12" hidden="1" outlineLevel="1" x14ac:dyDescent="0.25">
      <c r="A174" s="108" t="str">
        <f>E170</f>
        <v>Nyt Gasfyr</v>
      </c>
      <c r="B174" s="109">
        <f>$E$168-B168</f>
        <v>-80128.100778489315</v>
      </c>
      <c r="C174" s="109">
        <f t="shared" ref="C174:K174" si="86">$E$168-C168</f>
        <v>20432.031797268253</v>
      </c>
      <c r="D174" s="109">
        <f t="shared" si="86"/>
        <v>-84228.239510149229</v>
      </c>
      <c r="E174" s="109">
        <f t="shared" si="86"/>
        <v>0</v>
      </c>
      <c r="F174" s="109">
        <f t="shared" si="86"/>
        <v>-19911.473179743625</v>
      </c>
      <c r="G174" s="109">
        <f t="shared" si="86"/>
        <v>29636.697709458356</v>
      </c>
      <c r="H174" s="109">
        <f t="shared" si="86"/>
        <v>52282.052378993161</v>
      </c>
      <c r="I174" s="109">
        <f t="shared" si="86"/>
        <v>-66581.746537634754</v>
      </c>
      <c r="J174" s="109">
        <f t="shared" si="86"/>
        <v>25814.08533897344</v>
      </c>
      <c r="K174" s="109">
        <f t="shared" si="86"/>
        <v>38157.069709809148</v>
      </c>
      <c r="L174" s="108" t="s">
        <v>195</v>
      </c>
    </row>
    <row r="175" spans="1:12" hidden="1" outlineLevel="1" x14ac:dyDescent="0.25">
      <c r="A175" s="108" t="str">
        <f>F170</f>
        <v>indv. V/V VP</v>
      </c>
      <c r="B175" s="109">
        <f>$F$168-B168</f>
        <v>-60216.62759874569</v>
      </c>
      <c r="C175" s="109">
        <f t="shared" ref="C175:K175" si="87">$F$168-C168</f>
        <v>40343.504977011879</v>
      </c>
      <c r="D175" s="109">
        <f t="shared" si="87"/>
        <v>-64316.766330405604</v>
      </c>
      <c r="E175" s="109">
        <f t="shared" si="87"/>
        <v>19911.473179743625</v>
      </c>
      <c r="F175" s="109">
        <f t="shared" si="87"/>
        <v>0</v>
      </c>
      <c r="G175" s="109">
        <f t="shared" si="87"/>
        <v>49548.170889201981</v>
      </c>
      <c r="H175" s="109">
        <f t="shared" si="87"/>
        <v>72193.525558736786</v>
      </c>
      <c r="I175" s="109">
        <f t="shared" si="87"/>
        <v>-46670.273357891128</v>
      </c>
      <c r="J175" s="109">
        <f t="shared" si="87"/>
        <v>45725.558518717065</v>
      </c>
      <c r="K175" s="109">
        <f t="shared" si="87"/>
        <v>58068.542889552773</v>
      </c>
      <c r="L175" s="108" t="s">
        <v>195</v>
      </c>
    </row>
    <row r="176" spans="1:12" hidden="1" outlineLevel="1" x14ac:dyDescent="0.25">
      <c r="A176" s="108" t="str">
        <f>G170</f>
        <v>indv. L/V VP</v>
      </c>
      <c r="B176" s="109">
        <f>$G$168-B168</f>
        <v>-109764.79848794767</v>
      </c>
      <c r="C176" s="109">
        <f t="shared" ref="C176:K176" si="88">$G$168-C168</f>
        <v>-9204.665912190103</v>
      </c>
      <c r="D176" s="109">
        <f t="shared" si="88"/>
        <v>-113864.93721960759</v>
      </c>
      <c r="E176" s="109">
        <f t="shared" si="88"/>
        <v>-29636.697709458356</v>
      </c>
      <c r="F176" s="109">
        <f t="shared" si="88"/>
        <v>-49548.170889201981</v>
      </c>
      <c r="G176" s="109">
        <f t="shared" si="88"/>
        <v>0</v>
      </c>
      <c r="H176" s="109">
        <f t="shared" si="88"/>
        <v>22645.354669534805</v>
      </c>
      <c r="I176" s="109">
        <f t="shared" si="88"/>
        <v>-96218.44424709311</v>
      </c>
      <c r="J176" s="109">
        <f t="shared" si="88"/>
        <v>-3822.612370484916</v>
      </c>
      <c r="K176" s="109">
        <f t="shared" si="88"/>
        <v>8520.3720003507915</v>
      </c>
      <c r="L176" s="108" t="s">
        <v>195</v>
      </c>
    </row>
    <row r="177" spans="1:12" hidden="1" outlineLevel="1" x14ac:dyDescent="0.25">
      <c r="A177" s="108" t="str">
        <f>H170</f>
        <v>indv. L/L VP</v>
      </c>
      <c r="B177" s="109">
        <f>$H$168-B168</f>
        <v>-132410.15315748248</v>
      </c>
      <c r="C177" s="109">
        <f t="shared" ref="C177:K177" si="89">$H$168-C168</f>
        <v>-31850.020581724908</v>
      </c>
      <c r="D177" s="109">
        <f t="shared" si="89"/>
        <v>-136510.29188914239</v>
      </c>
      <c r="E177" s="109">
        <f t="shared" si="89"/>
        <v>-52282.052378993161</v>
      </c>
      <c r="F177" s="109">
        <f t="shared" si="89"/>
        <v>-72193.525558736786</v>
      </c>
      <c r="G177" s="109">
        <f t="shared" si="89"/>
        <v>-22645.354669534805</v>
      </c>
      <c r="H177" s="109">
        <f t="shared" si="89"/>
        <v>0</v>
      </c>
      <c r="I177" s="109">
        <f t="shared" si="89"/>
        <v>-118863.79891662791</v>
      </c>
      <c r="J177" s="109">
        <f t="shared" si="89"/>
        <v>-26467.967040019721</v>
      </c>
      <c r="K177" s="109">
        <f t="shared" si="89"/>
        <v>-14124.982669184014</v>
      </c>
      <c r="L177" s="108" t="s">
        <v>195</v>
      </c>
    </row>
    <row r="178" spans="1:12" hidden="1" outlineLevel="1" x14ac:dyDescent="0.25">
      <c r="A178" s="108" t="str">
        <f>I170</f>
        <v>indv.Træpiller</v>
      </c>
      <c r="B178" s="109">
        <f>$I$168-B168</f>
        <v>-13546.354240854562</v>
      </c>
      <c r="C178" s="109">
        <f t="shared" ref="C178:K178" si="90">$I$168-C168</f>
        <v>87013.778334903007</v>
      </c>
      <c r="D178" s="109">
        <f t="shared" si="90"/>
        <v>-17646.492972514476</v>
      </c>
      <c r="E178" s="109">
        <f t="shared" si="90"/>
        <v>66581.746537634754</v>
      </c>
      <c r="F178" s="109">
        <f t="shared" si="90"/>
        <v>46670.273357891128</v>
      </c>
      <c r="G178" s="109">
        <f t="shared" si="90"/>
        <v>96218.44424709311</v>
      </c>
      <c r="H178" s="109">
        <f t="shared" si="90"/>
        <v>118863.79891662791</v>
      </c>
      <c r="I178" s="109">
        <f t="shared" si="90"/>
        <v>0</v>
      </c>
      <c r="J178" s="109">
        <f t="shared" si="90"/>
        <v>92395.831876608194</v>
      </c>
      <c r="K178" s="109">
        <f t="shared" si="90"/>
        <v>104738.8162474439</v>
      </c>
      <c r="L178" s="108" t="s">
        <v>195</v>
      </c>
    </row>
    <row r="179" spans="1:12" hidden="1" outlineLevel="1" x14ac:dyDescent="0.25">
      <c r="A179" s="108" t="str">
        <f>J170</f>
        <v>Fjernvarme</v>
      </c>
      <c r="B179" s="109">
        <f>$J$168-B168</f>
        <v>-105942.18611746276</v>
      </c>
      <c r="C179" s="109">
        <f t="shared" ref="C179:K179" si="91">$J$168-C168</f>
        <v>-5382.0535417051869</v>
      </c>
      <c r="D179" s="109">
        <f t="shared" si="91"/>
        <v>-110042.32484912267</v>
      </c>
      <c r="E179" s="109">
        <f t="shared" si="91"/>
        <v>-25814.08533897344</v>
      </c>
      <c r="F179" s="109">
        <f t="shared" si="91"/>
        <v>-45725.558518717065</v>
      </c>
      <c r="G179" s="109">
        <f t="shared" si="91"/>
        <v>3822.612370484916</v>
      </c>
      <c r="H179" s="109">
        <f t="shared" si="91"/>
        <v>26467.967040019721</v>
      </c>
      <c r="I179" s="109">
        <f t="shared" si="91"/>
        <v>-92395.831876608194</v>
      </c>
      <c r="J179" s="109">
        <f t="shared" si="91"/>
        <v>0</v>
      </c>
      <c r="K179" s="109">
        <f t="shared" si="91"/>
        <v>12342.984370835708</v>
      </c>
      <c r="L179" s="108" t="s">
        <v>195</v>
      </c>
    </row>
    <row r="180" spans="1:12" hidden="1" outlineLevel="1" x14ac:dyDescent="0.25">
      <c r="A180" s="108" t="str">
        <f>K170</f>
        <v>Fælles ATES + V/V VP</v>
      </c>
      <c r="B180" s="109">
        <f>$K$168-B168</f>
        <v>-118285.17048829846</v>
      </c>
      <c r="C180" s="109">
        <f t="shared" ref="C180:K180" si="92">$K$168-C168</f>
        <v>-17725.037912540894</v>
      </c>
      <c r="D180" s="109">
        <f t="shared" si="92"/>
        <v>-122385.30921995838</v>
      </c>
      <c r="E180" s="109">
        <f t="shared" si="92"/>
        <v>-38157.069709809148</v>
      </c>
      <c r="F180" s="109">
        <f t="shared" si="92"/>
        <v>-58068.542889552773</v>
      </c>
      <c r="G180" s="109">
        <f t="shared" si="92"/>
        <v>-8520.3720003507915</v>
      </c>
      <c r="H180" s="109">
        <f t="shared" si="92"/>
        <v>14124.982669184014</v>
      </c>
      <c r="I180" s="109">
        <f t="shared" si="92"/>
        <v>-104738.8162474439</v>
      </c>
      <c r="J180" s="109">
        <f t="shared" si="92"/>
        <v>-12342.984370835708</v>
      </c>
      <c r="K180" s="109">
        <f t="shared" si="92"/>
        <v>0</v>
      </c>
      <c r="L180" s="108" t="s">
        <v>195</v>
      </c>
    </row>
    <row r="181" spans="1:12" ht="15.75" collapsed="1" thickBot="1" x14ac:dyDescent="0.3"/>
    <row r="182" spans="1:12" x14ac:dyDescent="0.25">
      <c r="A182" s="110" t="str">
        <f>"sammenfatning akkumuleret over levetiden "&amp;$B$7&amp;" år"</f>
        <v>sammenfatning akkumuleret over levetiden 15 år</v>
      </c>
      <c r="B182" s="111" t="str">
        <f>B170</f>
        <v>Gl oliefyr</v>
      </c>
      <c r="C182" s="111" t="str">
        <f t="shared" ref="C182:K182" si="93">C170</f>
        <v>Gl Gasfyr</v>
      </c>
      <c r="D182" s="111" t="str">
        <f t="shared" si="93"/>
        <v>Nyt Oliefyr</v>
      </c>
      <c r="E182" s="111" t="str">
        <f t="shared" si="93"/>
        <v>Nyt Gasfyr</v>
      </c>
      <c r="F182" s="111" t="str">
        <f t="shared" si="93"/>
        <v>indv. V/V VP</v>
      </c>
      <c r="G182" s="111" t="str">
        <f t="shared" si="93"/>
        <v>indv. L/V VP</v>
      </c>
      <c r="H182" s="111" t="str">
        <f t="shared" si="93"/>
        <v>indv. L/L VP</v>
      </c>
      <c r="I182" s="111" t="str">
        <f t="shared" si="93"/>
        <v>indv.Træpiller</v>
      </c>
      <c r="J182" s="111" t="str">
        <f t="shared" si="93"/>
        <v>Fjernvarme</v>
      </c>
      <c r="K182" s="111" t="str">
        <f t="shared" si="93"/>
        <v>Fælles ATES + V/V VP</v>
      </c>
      <c r="L182" s="112"/>
    </row>
    <row r="183" spans="1:12" x14ac:dyDescent="0.25">
      <c r="A183" s="113" t="s">
        <v>196</v>
      </c>
      <c r="B183" s="114">
        <f>B75</f>
        <v>337500.00000000006</v>
      </c>
      <c r="C183" s="114">
        <f t="shared" ref="C183:J183" si="94">C75</f>
        <v>242424.24242424252</v>
      </c>
      <c r="D183" s="114">
        <f t="shared" si="94"/>
        <v>293478.2608695653</v>
      </c>
      <c r="E183" s="114">
        <f t="shared" si="94"/>
        <v>224929.70946579194</v>
      </c>
      <c r="F183" s="114">
        <f t="shared" si="94"/>
        <v>88986.486486486465</v>
      </c>
      <c r="G183" s="114">
        <f t="shared" si="94"/>
        <v>107950.81967213117</v>
      </c>
      <c r="H183" s="114">
        <f t="shared" si="94"/>
        <v>164625</v>
      </c>
      <c r="I183" s="114">
        <f t="shared" si="94"/>
        <v>204197.3908111174</v>
      </c>
      <c r="J183" s="114">
        <f t="shared" si="94"/>
        <v>210000</v>
      </c>
      <c r="K183" s="114">
        <f>K75</f>
        <v>82312.5</v>
      </c>
      <c r="L183" s="115" t="s">
        <v>195</v>
      </c>
    </row>
    <row r="184" spans="1:12" x14ac:dyDescent="0.25">
      <c r="A184" s="113" t="s">
        <v>197</v>
      </c>
      <c r="B184" s="114">
        <f>B98</f>
        <v>53062.5</v>
      </c>
      <c r="C184" s="114">
        <f t="shared" ref="C184:K184" si="95">C98</f>
        <v>47578.125</v>
      </c>
      <c r="D184" s="114">
        <f t="shared" si="95"/>
        <v>53062.5</v>
      </c>
      <c r="E184" s="114">
        <f t="shared" si="95"/>
        <v>47578.125</v>
      </c>
      <c r="F184" s="114">
        <f t="shared" si="95"/>
        <v>57843.75</v>
      </c>
      <c r="G184" s="114">
        <f t="shared" si="95"/>
        <v>57843.75</v>
      </c>
      <c r="H184" s="114">
        <f t="shared" si="95"/>
        <v>41531.25</v>
      </c>
      <c r="I184" s="114">
        <f t="shared" si="95"/>
        <v>89625</v>
      </c>
      <c r="J184" s="114">
        <f t="shared" si="95"/>
        <v>51375</v>
      </c>
      <c r="K184" s="114">
        <f t="shared" si="95"/>
        <v>189964.82951170157</v>
      </c>
      <c r="L184" s="115" t="s">
        <v>195</v>
      </c>
    </row>
    <row r="185" spans="1:12" x14ac:dyDescent="0.25">
      <c r="A185" s="113" t="s">
        <v>198</v>
      </c>
      <c r="B185" s="114">
        <f t="shared" ref="B185:K185" si="96">B122-B31</f>
        <v>0</v>
      </c>
      <c r="C185" s="114">
        <f t="shared" si="96"/>
        <v>0</v>
      </c>
      <c r="D185" s="114">
        <f t="shared" si="96"/>
        <v>14822.635437852296</v>
      </c>
      <c r="E185" s="114">
        <f t="shared" si="96"/>
        <v>11682.246573900546</v>
      </c>
      <c r="F185" s="114">
        <f t="shared" si="96"/>
        <v>56526.999551131696</v>
      </c>
      <c r="G185" s="114">
        <f t="shared" si="96"/>
        <v>35423.586385375864</v>
      </c>
      <c r="H185" s="114">
        <f t="shared" si="96"/>
        <v>16015.983206153956</v>
      </c>
      <c r="I185" s="114">
        <f t="shared" si="96"/>
        <v>25625.57312984638</v>
      </c>
      <c r="J185" s="114">
        <f t="shared" si="96"/>
        <v>7160.0866098100141</v>
      </c>
      <c r="K185" s="114">
        <f t="shared" si="96"/>
        <v>0</v>
      </c>
      <c r="L185" s="115" t="s">
        <v>195</v>
      </c>
    </row>
    <row r="186" spans="1:12" x14ac:dyDescent="0.25">
      <c r="A186" s="113" t="s">
        <v>199</v>
      </c>
      <c r="B186" s="116">
        <f>B31</f>
        <v>0</v>
      </c>
      <c r="C186" s="116">
        <f t="shared" ref="C186:K186" si="97">C31</f>
        <v>0</v>
      </c>
      <c r="D186" s="116">
        <f t="shared" si="97"/>
        <v>33299.242424242417</v>
      </c>
      <c r="E186" s="116">
        <f t="shared" si="97"/>
        <v>26244.31818181818</v>
      </c>
      <c r="F186" s="116">
        <f t="shared" si="97"/>
        <v>126988.63636363634</v>
      </c>
      <c r="G186" s="116">
        <f t="shared" si="97"/>
        <v>79579.545454545456</v>
      </c>
      <c r="H186" s="116">
        <f t="shared" si="97"/>
        <v>35980.113636363632</v>
      </c>
      <c r="I186" s="116">
        <f t="shared" si="97"/>
        <v>57568.181818181809</v>
      </c>
      <c r="J186" s="116">
        <f t="shared" si="97"/>
        <v>16085.22727272727</v>
      </c>
      <c r="K186" s="116">
        <f t="shared" si="97"/>
        <v>0</v>
      </c>
      <c r="L186" s="115" t="s">
        <v>195</v>
      </c>
    </row>
    <row r="187" spans="1:12" x14ac:dyDescent="0.25">
      <c r="A187" s="113" t="str">
        <f>"total omkostning set over " &amp;$B$7&amp;" års levetid"</f>
        <v>total omkostning set over 15 års levetid</v>
      </c>
      <c r="B187" s="114">
        <f>SUM(B183:B186)</f>
        <v>390562.50000000006</v>
      </c>
      <c r="C187" s="114">
        <f t="shared" ref="C187:K187" si="98">SUM(C183:C186)</f>
        <v>290002.36742424255</v>
      </c>
      <c r="D187" s="114">
        <f t="shared" si="98"/>
        <v>394662.63873166003</v>
      </c>
      <c r="E187" s="114">
        <f t="shared" si="98"/>
        <v>310434.39922151068</v>
      </c>
      <c r="F187" s="114">
        <f t="shared" si="98"/>
        <v>330345.87240125448</v>
      </c>
      <c r="G187" s="114">
        <f t="shared" si="98"/>
        <v>280797.7015120525</v>
      </c>
      <c r="H187" s="114">
        <f t="shared" si="98"/>
        <v>258152.34684251761</v>
      </c>
      <c r="I187" s="114">
        <f t="shared" si="98"/>
        <v>377016.14575914555</v>
      </c>
      <c r="J187" s="114">
        <f t="shared" si="98"/>
        <v>284620.3138825373</v>
      </c>
      <c r="K187" s="114">
        <f t="shared" si="98"/>
        <v>272277.3295117016</v>
      </c>
      <c r="L187" s="115" t="s">
        <v>195</v>
      </c>
    </row>
    <row r="188" spans="1:12" x14ac:dyDescent="0.25">
      <c r="A188" s="113" t="str">
        <f>"Besparelse i forhold til nuværende oliekedel set over "&amp;$B$7&amp;" år"</f>
        <v>Besparelse i forhold til nuværende oliekedel set over 15 år</v>
      </c>
      <c r="B188" s="116"/>
      <c r="C188" s="116">
        <f t="shared" ref="C188:K188" si="99">$B$187-C187</f>
        <v>100560.13257575751</v>
      </c>
      <c r="D188" s="116">
        <f>IF($B$187-D187&lt;0,0,$B$187-D187)</f>
        <v>0</v>
      </c>
      <c r="E188" s="116">
        <f t="shared" si="99"/>
        <v>80128.100778489374</v>
      </c>
      <c r="F188" s="116">
        <f t="shared" si="99"/>
        <v>60216.627598745574</v>
      </c>
      <c r="G188" s="116">
        <f t="shared" si="99"/>
        <v>109764.79848794756</v>
      </c>
      <c r="H188" s="116">
        <f t="shared" si="99"/>
        <v>132410.15315748245</v>
      </c>
      <c r="I188" s="116">
        <f t="shared" si="99"/>
        <v>13546.354240854504</v>
      </c>
      <c r="J188" s="116">
        <f t="shared" si="99"/>
        <v>105942.18611746276</v>
      </c>
      <c r="K188" s="117">
        <f t="shared" si="99"/>
        <v>118285.17048829846</v>
      </c>
      <c r="L188" s="115" t="s">
        <v>195</v>
      </c>
    </row>
    <row r="189" spans="1:12" x14ac:dyDescent="0.25">
      <c r="A189" s="118" t="s">
        <v>200</v>
      </c>
      <c r="B189" s="119"/>
      <c r="C189" s="119">
        <f>$B$191-C191</f>
        <v>100560.13257575757</v>
      </c>
      <c r="D189" s="119">
        <f t="shared" ref="D189:K189" si="100">$B$191-D191</f>
        <v>-4100.1387316599139</v>
      </c>
      <c r="E189" s="119">
        <f t="shared" si="100"/>
        <v>80128.100778489315</v>
      </c>
      <c r="F189" s="119">
        <f>$B$191-F191</f>
        <v>60216.62759874569</v>
      </c>
      <c r="G189" s="119">
        <f t="shared" si="100"/>
        <v>109764.79848794767</v>
      </c>
      <c r="H189" s="119">
        <f t="shared" si="100"/>
        <v>132410.15315748248</v>
      </c>
      <c r="I189" s="119">
        <f t="shared" si="100"/>
        <v>13546.354240854562</v>
      </c>
      <c r="J189" s="119">
        <f t="shared" si="100"/>
        <v>105942.18611746276</v>
      </c>
      <c r="K189" s="119">
        <f t="shared" si="100"/>
        <v>118285.17048829846</v>
      </c>
      <c r="L189" s="120" t="s">
        <v>195</v>
      </c>
    </row>
    <row r="190" spans="1:12" x14ac:dyDescent="0.25">
      <c r="A190" s="121" t="str">
        <f>"CO2 besparelse set over "&amp;B7&amp;" års levetid fra Gl oliefyr"</f>
        <v>CO2 besparelse set over 15 års levetid fra Gl oliefyr</v>
      </c>
      <c r="B190" s="122">
        <f t="shared" ref="B190:K190" si="101">$B$7*B51</f>
        <v>0</v>
      </c>
      <c r="C190" s="122">
        <f t="shared" si="101"/>
        <v>0</v>
      </c>
      <c r="D190" s="116">
        <f t="shared" si="101"/>
        <v>13.059782608695645</v>
      </c>
      <c r="E190" s="116">
        <f t="shared" si="101"/>
        <v>36.722938144329895</v>
      </c>
      <c r="F190" s="116">
        <f t="shared" si="101"/>
        <v>84.719594594594597</v>
      </c>
      <c r="G190" s="116">
        <f t="shared" si="101"/>
        <v>81.436475409836049</v>
      </c>
      <c r="H190" s="116">
        <f t="shared" si="101"/>
        <v>71.625</v>
      </c>
      <c r="I190" s="116">
        <f t="shared" si="101"/>
        <v>30.61280487804877</v>
      </c>
      <c r="J190" s="116">
        <f t="shared" si="101"/>
        <v>73.125</v>
      </c>
      <c r="K190" s="116">
        <f t="shared" si="101"/>
        <v>85.875</v>
      </c>
      <c r="L190" s="115" t="s">
        <v>201</v>
      </c>
    </row>
    <row r="191" spans="1:12" ht="15.75" thickBot="1" x14ac:dyDescent="0.3">
      <c r="A191" s="123" t="str">
        <f>"Nutidsværdibeløb i alt set over "&amp;$B$7&amp;" år"</f>
        <v>Nutidsværdibeløb i alt set over 15 år</v>
      </c>
      <c r="B191" s="124">
        <f>B168</f>
        <v>390562.50000000006</v>
      </c>
      <c r="C191" s="124">
        <f t="shared" ref="C191:K191" si="102">C168</f>
        <v>290002.36742424249</v>
      </c>
      <c r="D191" s="124">
        <f t="shared" si="102"/>
        <v>394662.63873165997</v>
      </c>
      <c r="E191" s="124">
        <f t="shared" si="102"/>
        <v>310434.39922151074</v>
      </c>
      <c r="F191" s="124">
        <f>F168</f>
        <v>330345.87240125437</v>
      </c>
      <c r="G191" s="124">
        <f t="shared" si="102"/>
        <v>280797.70151205239</v>
      </c>
      <c r="H191" s="124">
        <f t="shared" si="102"/>
        <v>258152.34684251758</v>
      </c>
      <c r="I191" s="124">
        <f t="shared" si="102"/>
        <v>377016.1457591455</v>
      </c>
      <c r="J191" s="124">
        <f t="shared" si="102"/>
        <v>284620.3138825373</v>
      </c>
      <c r="K191" s="124">
        <f t="shared" si="102"/>
        <v>272277.3295117016</v>
      </c>
      <c r="L191" s="125" t="s">
        <v>195</v>
      </c>
    </row>
    <row r="192" spans="1:12" x14ac:dyDescent="0.25">
      <c r="A192" t="s">
        <v>202</v>
      </c>
      <c r="B192" s="100"/>
      <c r="C192" s="100">
        <v>157263.82013521087</v>
      </c>
      <c r="D192" s="100">
        <v>25977.516488778288</v>
      </c>
      <c r="E192" s="100">
        <v>155806.51454524149</v>
      </c>
      <c r="F192" s="100">
        <v>167757.1515029592</v>
      </c>
      <c r="G192" s="100">
        <v>185333.57725526919</v>
      </c>
      <c r="H192" s="100">
        <v>150482.5194853103</v>
      </c>
      <c r="I192" s="100">
        <v>154070.2547362753</v>
      </c>
      <c r="J192" s="100">
        <v>91227.256954973796</v>
      </c>
      <c r="K192" s="126">
        <v>146876.19777956931</v>
      </c>
      <c r="L192" s="127"/>
    </row>
    <row r="193" spans="1:11" x14ac:dyDescent="0.25">
      <c r="A193" t="s">
        <v>203</v>
      </c>
      <c r="B193" s="100">
        <v>423514.806221331</v>
      </c>
      <c r="C193" s="100">
        <v>266250.98608612013</v>
      </c>
      <c r="D193" s="100">
        <v>397537.28973255272</v>
      </c>
      <c r="E193" s="100">
        <v>267708.29167608952</v>
      </c>
      <c r="F193" s="100">
        <v>255757.65471837181</v>
      </c>
      <c r="G193" s="100">
        <v>238181.22896606181</v>
      </c>
      <c r="H193" s="100">
        <v>273032.2867360207</v>
      </c>
      <c r="I193" s="100">
        <v>269444.55148505571</v>
      </c>
      <c r="J193" s="100">
        <v>332287.54926635721</v>
      </c>
      <c r="K193" s="100">
        <v>276638.60844176169</v>
      </c>
    </row>
    <row r="195" spans="1:11" x14ac:dyDescent="0.25">
      <c r="A195" t="str">
        <f>"Privatøkonomisk sammenligning set over "&amp;$B$7&amp;" års levetid og driftsomkostninger med "&amp;$B$5*100&amp;" % stigning hvert år og "&amp;$B$6*100&amp;" % i rente af investeringsbeløbet som afdrages over de "&amp;$B$7&amp;" år"</f>
        <v>Privatøkonomisk sammenligning set over 15 års levetid og driftsomkostninger med 0 % stigning hvert år og 5 % i rente af investeringsbeløbet som afdrages over de 15 år</v>
      </c>
    </row>
    <row r="197" spans="1:11" x14ac:dyDescent="0.25">
      <c r="C197" t="s">
        <v>204</v>
      </c>
      <c r="D197" t="s">
        <v>205</v>
      </c>
    </row>
    <row r="198" spans="1:11" x14ac:dyDescent="0.25">
      <c r="B198">
        <v>1</v>
      </c>
      <c r="C198" s="99">
        <f>IF(B198&gt;Fællesindtastning!$D$75,0,$K$36)</f>
        <v>10164.321967446773</v>
      </c>
      <c r="D198" s="99">
        <f>$C$198*Fællesindtastning!$D$75-C198</f>
        <v>294765.33705595642</v>
      </c>
    </row>
    <row r="199" spans="1:11" x14ac:dyDescent="0.25">
      <c r="B199">
        <v>2</v>
      </c>
      <c r="C199" s="99">
        <f>IF(B199&gt;Fællesindtastning!$D$75,0,$K$36)</f>
        <v>10164.321967446773</v>
      </c>
      <c r="D199" s="99">
        <f>D198-C199</f>
        <v>284601.01508850965</v>
      </c>
    </row>
    <row r="200" spans="1:11" x14ac:dyDescent="0.25">
      <c r="B200">
        <v>3</v>
      </c>
      <c r="C200" s="99">
        <f>IF(B200&gt;Fællesindtastning!$D$75,0,$K$36)</f>
        <v>10164.321967446773</v>
      </c>
      <c r="D200" s="99">
        <f t="shared" ref="D200:D247" si="103">D199-C200</f>
        <v>274436.69312106288</v>
      </c>
    </row>
    <row r="201" spans="1:11" x14ac:dyDescent="0.25">
      <c r="B201">
        <v>4</v>
      </c>
      <c r="C201" s="99">
        <f>IF(B201&gt;Fællesindtastning!$D$75,0,$K$36)</f>
        <v>10164.321967446773</v>
      </c>
      <c r="D201" s="99">
        <f t="shared" si="103"/>
        <v>264272.37115361611</v>
      </c>
    </row>
    <row r="202" spans="1:11" x14ac:dyDescent="0.25">
      <c r="B202">
        <v>5</v>
      </c>
      <c r="C202" s="99">
        <f>IF(B202&gt;Fællesindtastning!$D$75,0,$K$36)</f>
        <v>10164.321967446773</v>
      </c>
      <c r="D202" s="99">
        <f t="shared" si="103"/>
        <v>254108.04918616934</v>
      </c>
    </row>
    <row r="203" spans="1:11" x14ac:dyDescent="0.25">
      <c r="B203">
        <v>6</v>
      </c>
      <c r="C203" s="99">
        <f>IF(B203&gt;Fællesindtastning!$D$75,0,$K$36)</f>
        <v>10164.321967446773</v>
      </c>
      <c r="D203" s="99">
        <f t="shared" si="103"/>
        <v>243943.72721872258</v>
      </c>
    </row>
    <row r="204" spans="1:11" x14ac:dyDescent="0.25">
      <c r="B204">
        <v>7</v>
      </c>
      <c r="C204" s="99">
        <f>IF(B204&gt;Fællesindtastning!$D$75,0,$K$36)</f>
        <v>10164.321967446773</v>
      </c>
      <c r="D204" s="99">
        <f t="shared" si="103"/>
        <v>233779.40525127581</v>
      </c>
    </row>
    <row r="205" spans="1:11" x14ac:dyDescent="0.25">
      <c r="B205">
        <v>8</v>
      </c>
      <c r="C205" s="99">
        <f>IF(B205&gt;Fællesindtastning!$D$75,0,$K$36)</f>
        <v>10164.321967446773</v>
      </c>
      <c r="D205" s="99">
        <f t="shared" si="103"/>
        <v>223615.08328382904</v>
      </c>
    </row>
    <row r="206" spans="1:11" x14ac:dyDescent="0.25">
      <c r="B206">
        <v>9</v>
      </c>
      <c r="C206" s="99">
        <f>IF(B206&gt;Fællesindtastning!$D$75,0,$K$36)</f>
        <v>10164.321967446773</v>
      </c>
      <c r="D206" s="99">
        <f t="shared" si="103"/>
        <v>213450.76131638227</v>
      </c>
    </row>
    <row r="207" spans="1:11" x14ac:dyDescent="0.25">
      <c r="B207">
        <v>10</v>
      </c>
      <c r="C207" s="99">
        <f>IF(B207&gt;Fællesindtastning!$D$75,0,$K$36)</f>
        <v>10164.321967446773</v>
      </c>
      <c r="D207" s="99">
        <f t="shared" si="103"/>
        <v>203286.4393489355</v>
      </c>
    </row>
    <row r="208" spans="1:11" x14ac:dyDescent="0.25">
      <c r="B208">
        <v>11</v>
      </c>
      <c r="C208" s="99">
        <f>IF(B208&gt;Fællesindtastning!$D$75,0,$K$36)</f>
        <v>10164.321967446773</v>
      </c>
      <c r="D208" s="99">
        <f t="shared" si="103"/>
        <v>193122.11738148873</v>
      </c>
    </row>
    <row r="209" spans="2:4" x14ac:dyDescent="0.25">
      <c r="B209">
        <v>12</v>
      </c>
      <c r="C209" s="99">
        <f>IF(B209&gt;Fællesindtastning!$D$75,0,$K$36)</f>
        <v>10164.321967446773</v>
      </c>
      <c r="D209" s="99">
        <f t="shared" si="103"/>
        <v>182957.79541404196</v>
      </c>
    </row>
    <row r="210" spans="2:4" x14ac:dyDescent="0.25">
      <c r="B210">
        <v>13</v>
      </c>
      <c r="C210" s="99">
        <f>IF(B210&gt;Fællesindtastning!$D$75,0,$K$36)</f>
        <v>10164.321967446773</v>
      </c>
      <c r="D210" s="99">
        <f t="shared" si="103"/>
        <v>172793.47344659519</v>
      </c>
    </row>
    <row r="211" spans="2:4" x14ac:dyDescent="0.25">
      <c r="B211">
        <v>14</v>
      </c>
      <c r="C211" s="99">
        <f>IF(B211&gt;Fællesindtastning!$D$75,0,$K$36)</f>
        <v>10164.321967446773</v>
      </c>
      <c r="D211" s="99">
        <f t="shared" si="103"/>
        <v>162629.15147914842</v>
      </c>
    </row>
    <row r="212" spans="2:4" x14ac:dyDescent="0.25">
      <c r="B212">
        <v>15</v>
      </c>
      <c r="C212" s="99">
        <f>IF(B212&gt;Fællesindtastning!$D$75,0,$K$36)</f>
        <v>10164.321967446773</v>
      </c>
      <c r="D212" s="99">
        <f t="shared" si="103"/>
        <v>152464.82951170165</v>
      </c>
    </row>
    <row r="213" spans="2:4" x14ac:dyDescent="0.25">
      <c r="B213">
        <v>16</v>
      </c>
      <c r="C213" s="99">
        <f>IF(B213&gt;Fællesindtastning!$D$75,0,$K$36)</f>
        <v>10164.321967446773</v>
      </c>
      <c r="D213" s="99">
        <f t="shared" si="103"/>
        <v>142300.50754425488</v>
      </c>
    </row>
    <row r="214" spans="2:4" x14ac:dyDescent="0.25">
      <c r="B214">
        <v>17</v>
      </c>
      <c r="C214" s="99">
        <f>IF(B214&gt;Fællesindtastning!$D$75,0,$K$36)</f>
        <v>10164.321967446773</v>
      </c>
      <c r="D214" s="99">
        <f t="shared" si="103"/>
        <v>132136.18557680812</v>
      </c>
    </row>
    <row r="215" spans="2:4" x14ac:dyDescent="0.25">
      <c r="B215">
        <v>18</v>
      </c>
      <c r="C215" s="99">
        <f>IF(B215&gt;Fællesindtastning!$D$75,0,$K$36)</f>
        <v>10164.321967446773</v>
      </c>
      <c r="D215" s="99">
        <f t="shared" si="103"/>
        <v>121971.86360936135</v>
      </c>
    </row>
    <row r="216" spans="2:4" x14ac:dyDescent="0.25">
      <c r="B216">
        <v>19</v>
      </c>
      <c r="C216" s="99">
        <f>IF(B216&gt;Fællesindtastning!$D$75,0,$K$36)</f>
        <v>10164.321967446773</v>
      </c>
      <c r="D216" s="99">
        <f t="shared" si="103"/>
        <v>111807.54164191458</v>
      </c>
    </row>
    <row r="217" spans="2:4" x14ac:dyDescent="0.25">
      <c r="B217">
        <v>20</v>
      </c>
      <c r="C217" s="99">
        <f>IF(B217&gt;Fællesindtastning!$D$75,0,$K$36)</f>
        <v>10164.321967446773</v>
      </c>
      <c r="D217" s="99">
        <f t="shared" si="103"/>
        <v>101643.21967446781</v>
      </c>
    </row>
    <row r="218" spans="2:4" x14ac:dyDescent="0.25">
      <c r="B218">
        <v>21</v>
      </c>
      <c r="C218" s="99">
        <f>IF(B218&gt;Fællesindtastning!$D$75,0,$K$36)</f>
        <v>10164.321967446773</v>
      </c>
      <c r="D218" s="99">
        <f t="shared" si="103"/>
        <v>91478.897707021039</v>
      </c>
    </row>
    <row r="219" spans="2:4" x14ac:dyDescent="0.25">
      <c r="B219">
        <v>22</v>
      </c>
      <c r="C219" s="99">
        <f>IF(B219&gt;Fællesindtastning!$D$75,0,$K$36)</f>
        <v>10164.321967446773</v>
      </c>
      <c r="D219" s="99">
        <f t="shared" si="103"/>
        <v>81314.575739574269</v>
      </c>
    </row>
    <row r="220" spans="2:4" x14ac:dyDescent="0.25">
      <c r="B220">
        <v>23</v>
      </c>
      <c r="C220" s="99">
        <f>IF(B220&gt;Fællesindtastning!$D$75,0,$K$36)</f>
        <v>10164.321967446773</v>
      </c>
      <c r="D220" s="99">
        <f t="shared" si="103"/>
        <v>71150.2537721275</v>
      </c>
    </row>
    <row r="221" spans="2:4" x14ac:dyDescent="0.25">
      <c r="B221">
        <v>24</v>
      </c>
      <c r="C221" s="99">
        <f>IF(B221&gt;Fællesindtastning!$D$75,0,$K$36)</f>
        <v>10164.321967446773</v>
      </c>
      <c r="D221" s="99">
        <f t="shared" si="103"/>
        <v>60985.931804680731</v>
      </c>
    </row>
    <row r="222" spans="2:4" x14ac:dyDescent="0.25">
      <c r="B222">
        <v>25</v>
      </c>
      <c r="C222" s="99">
        <f>IF(B222&gt;Fællesindtastning!$D$75,0,$K$36)</f>
        <v>10164.321967446773</v>
      </c>
      <c r="D222" s="99">
        <f t="shared" si="103"/>
        <v>50821.609837233962</v>
      </c>
    </row>
    <row r="223" spans="2:4" x14ac:dyDescent="0.25">
      <c r="B223">
        <v>26</v>
      </c>
      <c r="C223" s="99">
        <f>IF(B223&gt;Fællesindtastning!$D$75,0,$K$36)</f>
        <v>10164.321967446773</v>
      </c>
      <c r="D223" s="99">
        <f t="shared" si="103"/>
        <v>40657.287869787193</v>
      </c>
    </row>
    <row r="224" spans="2:4" x14ac:dyDescent="0.25">
      <c r="B224">
        <v>27</v>
      </c>
      <c r="C224" s="99">
        <f>IF(B224&gt;Fællesindtastning!$D$75,0,$K$36)</f>
        <v>10164.321967446773</v>
      </c>
      <c r="D224" s="99">
        <f t="shared" si="103"/>
        <v>30492.96590234042</v>
      </c>
    </row>
    <row r="225" spans="2:4" x14ac:dyDescent="0.25">
      <c r="B225">
        <v>28</v>
      </c>
      <c r="C225" s="99">
        <f>IF(B225&gt;Fællesindtastning!$D$75,0,$K$36)</f>
        <v>10164.321967446773</v>
      </c>
      <c r="D225" s="99">
        <f t="shared" si="103"/>
        <v>20328.643934893647</v>
      </c>
    </row>
    <row r="226" spans="2:4" x14ac:dyDescent="0.25">
      <c r="B226">
        <v>29</v>
      </c>
      <c r="C226" s="99">
        <f>IF(B226&gt;Fællesindtastning!$D$75,0,$K$36)</f>
        <v>10164.321967446773</v>
      </c>
      <c r="D226" s="99">
        <f t="shared" si="103"/>
        <v>10164.321967446875</v>
      </c>
    </row>
    <row r="227" spans="2:4" x14ac:dyDescent="0.25">
      <c r="B227">
        <v>30</v>
      </c>
      <c r="C227" s="99">
        <f>IF(B227&gt;Fællesindtastning!$D$75,0,$K$36)</f>
        <v>10164.321967446773</v>
      </c>
      <c r="D227" s="99">
        <f t="shared" si="103"/>
        <v>1.0186340659856796E-10</v>
      </c>
    </row>
    <row r="228" spans="2:4" x14ac:dyDescent="0.25">
      <c r="B228">
        <v>31</v>
      </c>
      <c r="C228" s="99">
        <f>IF(B228&gt;Fællesindtastning!$D$75,0,$K$36)</f>
        <v>0</v>
      </c>
      <c r="D228" s="99">
        <f t="shared" si="103"/>
        <v>1.0186340659856796E-10</v>
      </c>
    </row>
    <row r="229" spans="2:4" x14ac:dyDescent="0.25">
      <c r="B229">
        <v>32</v>
      </c>
      <c r="C229" s="99">
        <f>IF(B229&gt;Fællesindtastning!$D$75,0,$K$36)</f>
        <v>0</v>
      </c>
      <c r="D229" s="99">
        <f t="shared" si="103"/>
        <v>1.0186340659856796E-10</v>
      </c>
    </row>
    <row r="230" spans="2:4" x14ac:dyDescent="0.25">
      <c r="B230">
        <v>33</v>
      </c>
      <c r="C230" s="99">
        <f>IF(B230&gt;Fællesindtastning!$D$75,0,$K$36)</f>
        <v>0</v>
      </c>
      <c r="D230" s="99">
        <f t="shared" si="103"/>
        <v>1.0186340659856796E-10</v>
      </c>
    </row>
    <row r="231" spans="2:4" x14ac:dyDescent="0.25">
      <c r="B231">
        <v>34</v>
      </c>
      <c r="C231" s="99">
        <f>IF(B231&gt;Fællesindtastning!$D$75,0,$K$36)</f>
        <v>0</v>
      </c>
      <c r="D231" s="99">
        <f t="shared" si="103"/>
        <v>1.0186340659856796E-10</v>
      </c>
    </row>
    <row r="232" spans="2:4" x14ac:dyDescent="0.25">
      <c r="B232">
        <v>35</v>
      </c>
      <c r="C232" s="99">
        <f>IF(B232&gt;Fællesindtastning!$D$75,0,$K$36)</f>
        <v>0</v>
      </c>
      <c r="D232" s="99">
        <f t="shared" si="103"/>
        <v>1.0186340659856796E-10</v>
      </c>
    </row>
    <row r="233" spans="2:4" x14ac:dyDescent="0.25">
      <c r="B233">
        <v>36</v>
      </c>
      <c r="C233" s="99">
        <f>IF(B233&gt;Fællesindtastning!$D$75,0,$K$36)</f>
        <v>0</v>
      </c>
      <c r="D233" s="99">
        <f t="shared" si="103"/>
        <v>1.0186340659856796E-10</v>
      </c>
    </row>
    <row r="234" spans="2:4" x14ac:dyDescent="0.25">
      <c r="B234">
        <v>37</v>
      </c>
      <c r="C234" s="99">
        <f>IF(B234&gt;Fællesindtastning!$D$75,0,$K$36)</f>
        <v>0</v>
      </c>
      <c r="D234" s="99">
        <f t="shared" si="103"/>
        <v>1.0186340659856796E-10</v>
      </c>
    </row>
    <row r="235" spans="2:4" x14ac:dyDescent="0.25">
      <c r="B235">
        <v>38</v>
      </c>
      <c r="C235" s="99">
        <f>IF(B235&gt;Fællesindtastning!$D$75,0,$K$36)</f>
        <v>0</v>
      </c>
      <c r="D235" s="99">
        <f t="shared" si="103"/>
        <v>1.0186340659856796E-10</v>
      </c>
    </row>
    <row r="236" spans="2:4" x14ac:dyDescent="0.25">
      <c r="B236">
        <v>39</v>
      </c>
      <c r="C236" s="99">
        <f>IF(B236&gt;Fællesindtastning!$D$75,0,$K$36)</f>
        <v>0</v>
      </c>
      <c r="D236" s="99">
        <f t="shared" si="103"/>
        <v>1.0186340659856796E-10</v>
      </c>
    </row>
    <row r="237" spans="2:4" x14ac:dyDescent="0.25">
      <c r="B237">
        <v>40</v>
      </c>
      <c r="C237" s="99">
        <f>IF(B237&gt;Fællesindtastning!$D$75,0,$K$36)</f>
        <v>0</v>
      </c>
      <c r="D237" s="99">
        <f t="shared" si="103"/>
        <v>1.0186340659856796E-10</v>
      </c>
    </row>
    <row r="238" spans="2:4" x14ac:dyDescent="0.25">
      <c r="B238">
        <v>41</v>
      </c>
      <c r="C238" s="99">
        <f>IF(B238&gt;Fællesindtastning!$D$75,0,$K$36)</f>
        <v>0</v>
      </c>
      <c r="D238" s="99">
        <f t="shared" si="103"/>
        <v>1.0186340659856796E-10</v>
      </c>
    </row>
    <row r="239" spans="2:4" x14ac:dyDescent="0.25">
      <c r="B239">
        <v>42</v>
      </c>
      <c r="C239" s="99">
        <f>IF(B239&gt;Fællesindtastning!$D$75,0,$K$36)</f>
        <v>0</v>
      </c>
      <c r="D239" s="99">
        <f t="shared" si="103"/>
        <v>1.0186340659856796E-10</v>
      </c>
    </row>
    <row r="240" spans="2:4" x14ac:dyDescent="0.25">
      <c r="B240">
        <v>43</v>
      </c>
      <c r="C240" s="99">
        <f>IF(B240&gt;Fællesindtastning!$D$75,0,$K$36)</f>
        <v>0</v>
      </c>
      <c r="D240" s="99">
        <f t="shared" si="103"/>
        <v>1.0186340659856796E-10</v>
      </c>
    </row>
    <row r="241" spans="2:4" x14ac:dyDescent="0.25">
      <c r="B241">
        <v>44</v>
      </c>
      <c r="C241" s="99">
        <f>IF(B241&gt;Fællesindtastning!$D$75,0,$K$36)</f>
        <v>0</v>
      </c>
      <c r="D241" s="99">
        <f t="shared" si="103"/>
        <v>1.0186340659856796E-10</v>
      </c>
    </row>
    <row r="242" spans="2:4" x14ac:dyDescent="0.25">
      <c r="B242">
        <v>45</v>
      </c>
      <c r="C242" s="99">
        <f>IF(B242&gt;Fællesindtastning!$D$75,0,$K$36)</f>
        <v>0</v>
      </c>
      <c r="D242" s="99">
        <f t="shared" si="103"/>
        <v>1.0186340659856796E-10</v>
      </c>
    </row>
    <row r="243" spans="2:4" x14ac:dyDescent="0.25">
      <c r="B243">
        <v>46</v>
      </c>
      <c r="C243" s="99">
        <f>IF(B243&gt;Fællesindtastning!$D$75,0,$K$36)</f>
        <v>0</v>
      </c>
      <c r="D243" s="99">
        <f t="shared" si="103"/>
        <v>1.0186340659856796E-10</v>
      </c>
    </row>
    <row r="244" spans="2:4" x14ac:dyDescent="0.25">
      <c r="B244">
        <v>47</v>
      </c>
      <c r="C244" s="99">
        <f>IF(B244&gt;Fællesindtastning!$D$75,0,$K$36)</f>
        <v>0</v>
      </c>
      <c r="D244" s="99">
        <f t="shared" si="103"/>
        <v>1.0186340659856796E-10</v>
      </c>
    </row>
    <row r="245" spans="2:4" x14ac:dyDescent="0.25">
      <c r="B245">
        <v>48</v>
      </c>
      <c r="C245" s="99">
        <f>IF(B245&gt;Fællesindtastning!$D$75,0,$K$36)</f>
        <v>0</v>
      </c>
      <c r="D245" s="99">
        <f t="shared" si="103"/>
        <v>1.0186340659856796E-10</v>
      </c>
    </row>
    <row r="246" spans="2:4" x14ac:dyDescent="0.25">
      <c r="B246">
        <v>49</v>
      </c>
      <c r="C246" s="99">
        <f>IF(B246&gt;Fællesindtastning!$D$75,0,$K$36)</f>
        <v>0</v>
      </c>
      <c r="D246" s="99">
        <f t="shared" si="103"/>
        <v>1.0186340659856796E-10</v>
      </c>
    </row>
    <row r="247" spans="2:4" x14ac:dyDescent="0.25">
      <c r="B247">
        <v>50</v>
      </c>
      <c r="C247" s="99">
        <f>IF(B247&gt;Fællesindtastning!$D$75,0,$K$36)</f>
        <v>0</v>
      </c>
      <c r="D247" s="99">
        <f t="shared" si="103"/>
        <v>1.0186340659856796E-10</v>
      </c>
    </row>
  </sheetData>
  <sheetProtection algorithmName="SHA-512" hashValue="gCg66crRTWBLAZ6QnfNgJ7I1rWyswthgBb1tE4PwJKJHQudKP9MMp1Y/U+nPcnDP4c1fV50T0PUPDRgwyMIZLg==" saltValue="sFscb6UPBN6qKHiGIJjOCg==" spinCount="100000" sheet="1" objects="1" scenarios="1"/>
  <protectedRanges>
    <protectedRange sqref="K26" name="Område5"/>
    <protectedRange sqref="B25:J27" name="Område4"/>
    <protectedRange sqref="H8:H11" name="Område3"/>
    <protectedRange sqref="H4:H5" name="Område2"/>
    <protectedRange sqref="B4:B9" name="Område1"/>
  </protectedRanges>
  <mergeCells count="4">
    <mergeCell ref="A1:F1"/>
    <mergeCell ref="A15:B17"/>
    <mergeCell ref="F15:G15"/>
    <mergeCell ref="H15:I15"/>
  </mergeCells>
  <dataValidations count="1">
    <dataValidation allowBlank="1" showInputMessage="1" showErrorMessage="1" promptTitle="Elpriser og afgifter" prompt="El til varme giver afgiftsgodtgørelse, de eksakte værdier for dette kan findes på SKAT's hjemmeside." sqref="H5 H4" xr:uid="{5AD79DB7-4C73-41F5-9745-96B17EE7DCCA}"/>
  </dataValidations>
  <hyperlinks>
    <hyperlink ref="N3" r:id="rId1" xr:uid="{5837AE7F-EFEA-42F5-9674-37E2F8C7669D}"/>
  </hyperlinks>
  <pageMargins left="0.7" right="0.7" top="0.75" bottom="0.75" header="0.3" footer="0.3"/>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2C757-D639-43FC-B250-CFA24C413DEF}">
  <dimension ref="A1:AI29"/>
  <sheetViews>
    <sheetView workbookViewId="0">
      <selection activeCell="E10" sqref="E10"/>
    </sheetView>
  </sheetViews>
  <sheetFormatPr defaultRowHeight="15" x14ac:dyDescent="0.25"/>
  <cols>
    <col min="1" max="1" width="68.7109375" customWidth="1"/>
    <col min="2" max="2" width="17.7109375" bestFit="1" customWidth="1"/>
    <col min="3" max="3" width="21.140625" bestFit="1" customWidth="1"/>
    <col min="5" max="5" width="14.140625" bestFit="1" customWidth="1"/>
    <col min="6" max="6" width="64.28515625" customWidth="1"/>
    <col min="7" max="7" width="16" customWidth="1"/>
    <col min="8" max="8" width="21.140625" bestFit="1" customWidth="1"/>
    <col min="9" max="9" width="13.28515625" bestFit="1" customWidth="1"/>
    <col min="11" max="13" width="12.42578125" customWidth="1"/>
    <col min="31" max="31" width="10.7109375" customWidth="1"/>
    <col min="32" max="32" width="10.85546875" customWidth="1"/>
    <col min="33" max="33" width="14.85546875" customWidth="1"/>
    <col min="40" max="40" width="31.85546875" bestFit="1" customWidth="1"/>
    <col min="41" max="41" width="12.5703125" bestFit="1" customWidth="1"/>
  </cols>
  <sheetData>
    <row r="1" spans="1:35" ht="23.25" x14ac:dyDescent="0.35">
      <c r="A1" s="138" t="s">
        <v>264</v>
      </c>
      <c r="B1" s="127"/>
      <c r="C1" s="127"/>
      <c r="D1" s="17"/>
    </row>
    <row r="2" spans="1:35" ht="13.9" customHeight="1" x14ac:dyDescent="0.35">
      <c r="A2" s="135"/>
      <c r="B2" s="127"/>
      <c r="C2" s="127"/>
      <c r="D2" s="17"/>
    </row>
    <row r="3" spans="1:35" ht="128.44999999999999" customHeight="1" x14ac:dyDescent="0.25">
      <c r="A3" s="163" t="s">
        <v>272</v>
      </c>
      <c r="B3" s="164"/>
      <c r="C3" s="164"/>
      <c r="D3" s="164"/>
      <c r="E3" s="164"/>
    </row>
    <row r="4" spans="1:35" ht="15" customHeight="1" x14ac:dyDescent="0.25">
      <c r="A4" s="136"/>
      <c r="B4" s="137"/>
      <c r="C4" s="137"/>
      <c r="D4" s="137"/>
      <c r="E4" s="137"/>
    </row>
    <row r="5" spans="1:35" x14ac:dyDescent="0.25">
      <c r="A5" t="s">
        <v>206</v>
      </c>
    </row>
    <row r="6" spans="1:35" x14ac:dyDescent="0.25">
      <c r="A6" s="5"/>
      <c r="B6" t="s">
        <v>263</v>
      </c>
      <c r="C6" t="s">
        <v>3</v>
      </c>
      <c r="D6" t="s">
        <v>4</v>
      </c>
      <c r="E6" s="49"/>
      <c r="F6" t="s">
        <v>270</v>
      </c>
      <c r="G6" s="49"/>
      <c r="H6" s="49"/>
      <c r="I6" s="49"/>
      <c r="J6" s="49"/>
      <c r="K6" s="49"/>
      <c r="L6" s="49"/>
      <c r="M6" s="49"/>
      <c r="N6" s="134"/>
      <c r="O6" s="49"/>
      <c r="P6" s="49"/>
      <c r="Q6" s="49"/>
      <c r="R6" s="49"/>
      <c r="S6" s="49"/>
      <c r="AI6" s="4"/>
    </row>
    <row r="7" spans="1:35" x14ac:dyDescent="0.25">
      <c r="A7" s="33" t="s">
        <v>219</v>
      </c>
      <c r="E7" s="49"/>
      <c r="F7" s="134"/>
      <c r="G7" s="49"/>
      <c r="H7" s="49"/>
      <c r="I7" s="49"/>
      <c r="J7" s="49"/>
      <c r="K7" s="49"/>
      <c r="L7" s="49"/>
      <c r="M7" s="49"/>
      <c r="N7" s="134"/>
      <c r="O7" s="49"/>
      <c r="P7" s="49"/>
      <c r="Q7" s="49"/>
      <c r="R7" s="49"/>
      <c r="S7" s="49"/>
      <c r="AI7" s="4"/>
    </row>
    <row r="8" spans="1:35" x14ac:dyDescent="0.25">
      <c r="A8" s="33" t="s">
        <v>67</v>
      </c>
      <c r="B8" s="23">
        <f>Fællesindtastning!C43*0.8</f>
        <v>0</v>
      </c>
      <c r="C8" s="23">
        <f>Fællesindtastning!D43*0.8</f>
        <v>0</v>
      </c>
      <c r="D8" s="23" t="str">
        <f>Fællesindtastning!E43</f>
        <v>kr.</v>
      </c>
      <c r="E8" s="49"/>
      <c r="F8" s="134"/>
      <c r="G8" s="49"/>
      <c r="H8" s="49"/>
      <c r="I8" s="49"/>
      <c r="J8" s="49"/>
      <c r="K8" s="49"/>
      <c r="L8" s="49"/>
      <c r="M8" s="49"/>
      <c r="N8" s="134"/>
      <c r="O8" s="49"/>
      <c r="P8" s="49"/>
      <c r="Q8" s="49"/>
      <c r="R8" s="49"/>
      <c r="S8" s="49"/>
      <c r="AI8" s="4"/>
    </row>
    <row r="9" spans="1:35" x14ac:dyDescent="0.25">
      <c r="A9" s="33" t="s">
        <v>265</v>
      </c>
      <c r="B9" s="23">
        <f>Fællesindtastning!C44*0.8</f>
        <v>3600000</v>
      </c>
      <c r="C9" s="23">
        <f>Fællesindtastning!D44*0.8</f>
        <v>1200000</v>
      </c>
      <c r="D9" s="23" t="str">
        <f>Fællesindtastning!E44</f>
        <v>kr.</v>
      </c>
      <c r="E9" s="49"/>
      <c r="F9" s="134"/>
      <c r="G9" s="49"/>
      <c r="H9" s="49"/>
      <c r="I9" s="49"/>
      <c r="J9" s="49"/>
      <c r="K9" s="49"/>
      <c r="L9" s="49"/>
      <c r="M9" s="49"/>
      <c r="N9" s="134"/>
      <c r="O9" s="49"/>
      <c r="P9" s="49"/>
      <c r="Q9" s="49"/>
      <c r="R9" s="49"/>
      <c r="S9" s="49"/>
      <c r="AI9" s="4"/>
    </row>
    <row r="10" spans="1:35" x14ac:dyDescent="0.25">
      <c r="A10" s="33" t="s">
        <v>266</v>
      </c>
      <c r="B10" s="23">
        <f>Fællesindtastning!C45*0.8</f>
        <v>16830434.782608695</v>
      </c>
      <c r="C10" s="23">
        <f>Fællesindtastning!D45*0.8</f>
        <v>6600000</v>
      </c>
      <c r="D10" s="23" t="str">
        <f>Fællesindtastning!E45</f>
        <v>kr.</v>
      </c>
      <c r="E10" s="49"/>
      <c r="F10" s="134"/>
      <c r="G10" s="49"/>
      <c r="H10" s="49"/>
      <c r="I10" s="49"/>
      <c r="J10" s="49"/>
      <c r="K10" s="49"/>
      <c r="L10" s="49"/>
      <c r="M10" s="49"/>
      <c r="N10" s="134"/>
      <c r="O10" s="49"/>
      <c r="P10" s="49"/>
      <c r="Q10" s="49"/>
      <c r="R10" s="49"/>
      <c r="S10" s="49"/>
      <c r="AI10" s="4"/>
    </row>
    <row r="11" spans="1:35" x14ac:dyDescent="0.25">
      <c r="A11" s="33" t="s">
        <v>240</v>
      </c>
      <c r="B11" s="23">
        <f>Fællesindtastning!C46*0.8</f>
        <v>17642240</v>
      </c>
      <c r="C11" s="23">
        <f>Fællesindtastning!D46*0.8</f>
        <v>6587200</v>
      </c>
      <c r="D11" s="23" t="str">
        <f>Fællesindtastning!E46</f>
        <v>kr.</v>
      </c>
      <c r="E11" s="49"/>
      <c r="F11" s="134"/>
      <c r="G11" s="49"/>
      <c r="H11" s="49"/>
      <c r="I11" s="49"/>
      <c r="J11" s="49"/>
      <c r="K11" s="49"/>
      <c r="L11" s="49"/>
      <c r="M11" s="49"/>
      <c r="N11" s="134"/>
      <c r="O11" s="49"/>
      <c r="P11" s="49"/>
      <c r="Q11" s="49"/>
      <c r="R11" s="49"/>
      <c r="S11" s="49"/>
      <c r="AI11" s="4"/>
    </row>
    <row r="12" spans="1:35" x14ac:dyDescent="0.25">
      <c r="A12" s="33" t="s">
        <v>267</v>
      </c>
      <c r="B12" s="23">
        <f>Fællesindtastning!C47*0.8</f>
        <v>3807267.4782608696</v>
      </c>
      <c r="C12" s="23">
        <f>Fællesindtastning!D47*0.8</f>
        <v>1438720</v>
      </c>
      <c r="D12" s="23" t="str">
        <f>Fællesindtastning!E47</f>
        <v>kr.</v>
      </c>
      <c r="E12" s="49"/>
      <c r="F12" s="134"/>
      <c r="G12" s="49"/>
      <c r="H12" s="49"/>
      <c r="I12" s="49"/>
      <c r="J12" s="49"/>
      <c r="K12" s="49"/>
      <c r="L12" s="49"/>
      <c r="M12" s="49"/>
      <c r="N12" s="134"/>
      <c r="O12" s="49"/>
      <c r="P12" s="49"/>
      <c r="Q12" s="49"/>
      <c r="R12" s="49"/>
      <c r="S12" s="49"/>
      <c r="AI12" s="4"/>
    </row>
    <row r="13" spans="1:35" x14ac:dyDescent="0.25">
      <c r="A13" s="33" t="s">
        <v>71</v>
      </c>
      <c r="B13" s="23">
        <f>Fællesindtastning!C48*0.8</f>
        <v>-1270258.3719044351</v>
      </c>
      <c r="C13" s="23">
        <f>Fællesindtastning!D48*0.8</f>
        <v>-546735.03836317116</v>
      </c>
      <c r="D13" s="23" t="str">
        <f>Fællesindtastning!E48</f>
        <v>kr.</v>
      </c>
      <c r="E13" s="49"/>
      <c r="F13" s="134"/>
      <c r="G13" s="49"/>
      <c r="H13" s="49"/>
      <c r="I13" s="49"/>
      <c r="J13" s="49"/>
      <c r="K13" s="49"/>
      <c r="L13" s="49"/>
      <c r="M13" s="49"/>
      <c r="N13" s="134"/>
      <c r="O13" s="49"/>
      <c r="P13" s="49"/>
      <c r="Q13" s="49"/>
      <c r="R13" s="49"/>
      <c r="S13" s="49"/>
      <c r="AI13" s="4"/>
    </row>
    <row r="14" spans="1:35" x14ac:dyDescent="0.25">
      <c r="A14" s="33" t="s">
        <v>214</v>
      </c>
      <c r="B14" s="23">
        <f>Fællesindtastning!C49*0.8</f>
        <v>40609683.88896513</v>
      </c>
      <c r="C14" s="23">
        <f>Fællesindtastning!D49*0.8</f>
        <v>15279184.96163683</v>
      </c>
      <c r="D14" s="23" t="str">
        <f>Fællesindtastning!E49</f>
        <v>kr.</v>
      </c>
      <c r="E14" s="49"/>
      <c r="F14" s="134"/>
      <c r="G14" s="49"/>
      <c r="H14" s="49"/>
      <c r="I14" s="49"/>
      <c r="J14" s="49"/>
      <c r="K14" s="49"/>
      <c r="L14" s="49"/>
      <c r="M14" s="49"/>
      <c r="N14" s="134"/>
      <c r="O14" s="49"/>
      <c r="P14" s="49"/>
      <c r="Q14" s="49"/>
      <c r="R14" s="49"/>
      <c r="S14" s="49"/>
      <c r="AI14" s="4"/>
    </row>
    <row r="15" spans="1:35" x14ac:dyDescent="0.25">
      <c r="A15" s="33"/>
      <c r="B15" s="23"/>
      <c r="C15" s="23"/>
      <c r="D15" s="23"/>
    </row>
    <row r="16" spans="1:35" x14ac:dyDescent="0.25">
      <c r="A16" s="33" t="s">
        <v>220</v>
      </c>
      <c r="B16" s="23"/>
      <c r="C16" s="23"/>
      <c r="D16" s="23"/>
    </row>
    <row r="17" spans="1:4" x14ac:dyDescent="0.25">
      <c r="A17" s="33"/>
      <c r="B17" s="23"/>
      <c r="C17" s="23"/>
      <c r="D17" s="23"/>
    </row>
    <row r="18" spans="1:4" x14ac:dyDescent="0.25">
      <c r="A18" s="33" t="s">
        <v>268</v>
      </c>
      <c r="B18" s="23">
        <f>Fællesindtastning!C56*0.8</f>
        <v>657066.66666666674</v>
      </c>
      <c r="C18" s="23">
        <f>Fællesindtastning!D56*0.8</f>
        <v>245333.33333333337</v>
      </c>
      <c r="D18" s="23" t="str">
        <f>Fællesindtastning!E56</f>
        <v>kr/år</v>
      </c>
    </row>
    <row r="19" spans="1:4" x14ac:dyDescent="0.25">
      <c r="A19" s="33" t="s">
        <v>215</v>
      </c>
      <c r="B19" s="23">
        <f>Fællesindtastning!C57*0.8</f>
        <v>95652.173913043487</v>
      </c>
      <c r="C19" s="23">
        <f>Fællesindtastning!D57*0.8</f>
        <v>35714.285714285717</v>
      </c>
      <c r="D19" s="23" t="str">
        <f>Fællesindtastning!E57</f>
        <v>kr/år</v>
      </c>
    </row>
    <row r="20" spans="1:4" x14ac:dyDescent="0.25">
      <c r="A20" t="s">
        <v>217</v>
      </c>
      <c r="B20" s="23">
        <f>Fællesindtastning!C58*0.8</f>
        <v>47826.086956521744</v>
      </c>
      <c r="C20" s="23">
        <f>Fællesindtastning!D58*0.8</f>
        <v>17857.142857142859</v>
      </c>
      <c r="D20" s="23" t="str">
        <f>Fællesindtastning!E58</f>
        <v>kr/år</v>
      </c>
    </row>
    <row r="21" spans="1:4" x14ac:dyDescent="0.25">
      <c r="A21" t="s">
        <v>247</v>
      </c>
      <c r="B21" s="23">
        <f>Fællesindtastning!C59*0.8</f>
        <v>800544.92753623193</v>
      </c>
      <c r="C21" s="23">
        <f>Fællesindtastning!D59*0.8</f>
        <v>298904.76190476195</v>
      </c>
      <c r="D21" s="23" t="str">
        <f>Fællesindtastning!E59</f>
        <v>kr/år</v>
      </c>
    </row>
    <row r="22" spans="1:4" x14ac:dyDescent="0.25">
      <c r="A22" s="5"/>
    </row>
    <row r="23" spans="1:4" x14ac:dyDescent="0.25">
      <c r="A23" s="5"/>
    </row>
    <row r="24" spans="1:4" x14ac:dyDescent="0.25">
      <c r="A24" s="5"/>
    </row>
    <row r="25" spans="1:4" x14ac:dyDescent="0.25">
      <c r="A25" s="5" t="s">
        <v>269</v>
      </c>
    </row>
    <row r="26" spans="1:4" x14ac:dyDescent="0.25">
      <c r="A26" s="43" t="s">
        <v>207</v>
      </c>
    </row>
    <row r="27" spans="1:4" x14ac:dyDescent="0.25">
      <c r="A27" s="43" t="s">
        <v>208</v>
      </c>
    </row>
    <row r="28" spans="1:4" x14ac:dyDescent="0.25">
      <c r="A28" s="43" t="s">
        <v>209</v>
      </c>
    </row>
    <row r="29" spans="1:4" x14ac:dyDescent="0.25">
      <c r="A29" s="43" t="s">
        <v>271</v>
      </c>
    </row>
  </sheetData>
  <sheetProtection algorithmName="SHA-512" hashValue="N5SLp8iA/4A1e7/oz966jP1mI5UUH/LDfrqEOlaAWnzes8xV780RrVNKIPlmCMP9X6bCT5kT0nV907XoWCQDEg==" saltValue="+9wBfV+W5h4T778By5hF/g==" spinCount="100000" sheet="1" objects="1" scenarios="1"/>
  <mergeCells count="1">
    <mergeCell ref="A3:E3"/>
  </mergeCells>
  <hyperlinks>
    <hyperlink ref="A26" r:id="rId1" xr:uid="{2D1244DF-1B4D-471F-9211-A915ABC12A17}"/>
    <hyperlink ref="A28" r:id="rId2" xr:uid="{2C662157-4499-44D9-A628-DAC933426F62}"/>
    <hyperlink ref="A27" r:id="rId3" xr:uid="{4F088A26-9A48-403A-BD81-F9519D4C92CA}"/>
    <hyperlink ref="A29" r:id="rId4" xr:uid="{FAF6F0D3-5F37-435D-95DE-A41361E9C8F2}"/>
  </hyperlinks>
  <pageMargins left="0.7" right="0.7" top="0.75" bottom="0.75" header="0.3" footer="0.3"/>
  <pageSetup paperSize="9"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E642D-AF63-4C66-9B45-600C3F97F168}">
  <dimension ref="A1:AG27"/>
  <sheetViews>
    <sheetView workbookViewId="0">
      <selection activeCell="D18" sqref="D18"/>
    </sheetView>
  </sheetViews>
  <sheetFormatPr defaultRowHeight="15" x14ac:dyDescent="0.25"/>
  <cols>
    <col min="1" max="1" width="75.140625" bestFit="1" customWidth="1"/>
    <col min="2" max="2" width="10.140625" bestFit="1" customWidth="1"/>
    <col min="3" max="3" width="10.140625" customWidth="1"/>
    <col min="4" max="4" width="13.28515625" bestFit="1" customWidth="1"/>
    <col min="18" max="18" width="9.7109375" bestFit="1" customWidth="1"/>
    <col min="33" max="33" width="9.7109375" bestFit="1" customWidth="1"/>
  </cols>
  <sheetData>
    <row r="1" spans="1:33" ht="23.25" x14ac:dyDescent="0.35">
      <c r="A1" s="140" t="s">
        <v>260</v>
      </c>
    </row>
    <row r="2" spans="1:33" x14ac:dyDescent="0.25">
      <c r="A2" t="s">
        <v>14</v>
      </c>
      <c r="B2">
        <v>0</v>
      </c>
      <c r="C2" t="s">
        <v>246</v>
      </c>
      <c r="D2">
        <v>1</v>
      </c>
      <c r="E2">
        <v>2</v>
      </c>
      <c r="F2">
        <v>3</v>
      </c>
      <c r="G2">
        <v>4</v>
      </c>
      <c r="H2">
        <v>5</v>
      </c>
      <c r="I2">
        <v>6</v>
      </c>
      <c r="J2">
        <v>7</v>
      </c>
      <c r="K2">
        <v>8</v>
      </c>
      <c r="L2">
        <v>9</v>
      </c>
      <c r="M2">
        <v>10</v>
      </c>
      <c r="N2">
        <v>11</v>
      </c>
      <c r="O2">
        <v>12</v>
      </c>
      <c r="P2">
        <v>13</v>
      </c>
      <c r="Q2">
        <v>14</v>
      </c>
      <c r="R2">
        <v>15</v>
      </c>
      <c r="S2">
        <v>16</v>
      </c>
      <c r="T2">
        <v>17</v>
      </c>
      <c r="U2">
        <v>18</v>
      </c>
      <c r="V2">
        <v>19</v>
      </c>
      <c r="W2">
        <v>20</v>
      </c>
      <c r="X2">
        <v>21</v>
      </c>
      <c r="Y2">
        <v>22</v>
      </c>
      <c r="Z2">
        <v>23</v>
      </c>
      <c r="AA2">
        <v>24</v>
      </c>
      <c r="AB2">
        <v>25</v>
      </c>
      <c r="AC2">
        <v>26</v>
      </c>
      <c r="AD2">
        <v>27</v>
      </c>
      <c r="AE2">
        <v>28</v>
      </c>
      <c r="AF2">
        <v>29</v>
      </c>
      <c r="AG2">
        <v>30</v>
      </c>
    </row>
    <row r="3" spans="1:33" x14ac:dyDescent="0.25">
      <c r="A3" s="5" t="s">
        <v>239</v>
      </c>
    </row>
    <row r="4" spans="1:33" x14ac:dyDescent="0.25">
      <c r="A4" t="str">
        <f>Fællesindtastning!A43</f>
        <v>Tilslutningsbidrag for tilkoblede husstande</v>
      </c>
      <c r="B4" s="23">
        <f>Fællesindtastning!D43</f>
        <v>0</v>
      </c>
      <c r="C4" s="23"/>
    </row>
    <row r="5" spans="1:33" x14ac:dyDescent="0.25">
      <c r="A5" t="str">
        <f>Fællesindtastning!A48</f>
        <v>Energibesparelse &amp; andet tilskud:</v>
      </c>
      <c r="B5" s="23">
        <f>Fællesindtastning!D48*-1*0.8</f>
        <v>546735.03836317116</v>
      </c>
      <c r="C5" s="23"/>
    </row>
    <row r="6" spans="1:33" x14ac:dyDescent="0.25">
      <c r="A6" t="str">
        <f>""&amp;Fællesindtastning!A79&amp;" for alle deltagende husstande"</f>
        <v>Årlig ydelse pr. år pr. husstand inkl VP i år 0 og år 15 og D&amp;V for alle deltagende husstande</v>
      </c>
      <c r="B6" s="23"/>
      <c r="C6" s="23">
        <f>SUM(D6:AG6)</f>
        <v>28053528.630153093</v>
      </c>
      <c r="D6" s="23">
        <f>Fællesindtastning!D79*Fællesindtastning!D13*0.8*-1</f>
        <v>935117.62100510322</v>
      </c>
      <c r="E6" s="23">
        <f>D6</f>
        <v>935117.62100510322</v>
      </c>
      <c r="F6" s="23">
        <f t="shared" ref="F6:AG6" si="0">E6</f>
        <v>935117.62100510322</v>
      </c>
      <c r="G6" s="23">
        <f t="shared" si="0"/>
        <v>935117.62100510322</v>
      </c>
      <c r="H6" s="23">
        <f t="shared" si="0"/>
        <v>935117.62100510322</v>
      </c>
      <c r="I6" s="23">
        <f t="shared" si="0"/>
        <v>935117.62100510322</v>
      </c>
      <c r="J6" s="23">
        <f t="shared" si="0"/>
        <v>935117.62100510322</v>
      </c>
      <c r="K6" s="23">
        <f t="shared" si="0"/>
        <v>935117.62100510322</v>
      </c>
      <c r="L6" s="23">
        <f t="shared" si="0"/>
        <v>935117.62100510322</v>
      </c>
      <c r="M6" s="23">
        <f t="shared" si="0"/>
        <v>935117.62100510322</v>
      </c>
      <c r="N6" s="23">
        <f t="shared" si="0"/>
        <v>935117.62100510322</v>
      </c>
      <c r="O6" s="23">
        <f t="shared" si="0"/>
        <v>935117.62100510322</v>
      </c>
      <c r="P6" s="23">
        <f t="shared" si="0"/>
        <v>935117.62100510322</v>
      </c>
      <c r="Q6" s="23">
        <f t="shared" si="0"/>
        <v>935117.62100510322</v>
      </c>
      <c r="R6" s="23">
        <f t="shared" si="0"/>
        <v>935117.62100510322</v>
      </c>
      <c r="S6" s="23">
        <f t="shared" si="0"/>
        <v>935117.62100510322</v>
      </c>
      <c r="T6" s="23">
        <f t="shared" si="0"/>
        <v>935117.62100510322</v>
      </c>
      <c r="U6" s="23">
        <f t="shared" si="0"/>
        <v>935117.62100510322</v>
      </c>
      <c r="V6" s="23">
        <f t="shared" si="0"/>
        <v>935117.62100510322</v>
      </c>
      <c r="W6" s="23">
        <f t="shared" si="0"/>
        <v>935117.62100510322</v>
      </c>
      <c r="X6" s="23">
        <f t="shared" si="0"/>
        <v>935117.62100510322</v>
      </c>
      <c r="Y6" s="23">
        <f t="shared" si="0"/>
        <v>935117.62100510322</v>
      </c>
      <c r="Z6" s="23">
        <f t="shared" si="0"/>
        <v>935117.62100510322</v>
      </c>
      <c r="AA6" s="23">
        <f t="shared" si="0"/>
        <v>935117.62100510322</v>
      </c>
      <c r="AB6" s="23">
        <f t="shared" si="0"/>
        <v>935117.62100510322</v>
      </c>
      <c r="AC6" s="23">
        <f t="shared" si="0"/>
        <v>935117.62100510322</v>
      </c>
      <c r="AD6" s="23">
        <f t="shared" si="0"/>
        <v>935117.62100510322</v>
      </c>
      <c r="AE6" s="23">
        <f t="shared" si="0"/>
        <v>935117.62100510322</v>
      </c>
      <c r="AF6" s="23">
        <f t="shared" si="0"/>
        <v>935117.62100510322</v>
      </c>
      <c r="AG6" s="23">
        <f t="shared" si="0"/>
        <v>935117.62100510322</v>
      </c>
    </row>
    <row r="7" spans="1:33" x14ac:dyDescent="0.25">
      <c r="B7" s="23"/>
      <c r="C7" s="23"/>
    </row>
    <row r="10" spans="1:33" x14ac:dyDescent="0.25">
      <c r="A10" t="s">
        <v>243</v>
      </c>
    </row>
    <row r="11" spans="1:33" x14ac:dyDescent="0.25">
      <c r="A11" t="s">
        <v>241</v>
      </c>
    </row>
    <row r="12" spans="1:33" x14ac:dyDescent="0.25">
      <c r="A12" t="str">
        <f>Fællesindtastning!A44</f>
        <v>Investeringsbehov for boringspar1 3:</v>
      </c>
      <c r="B12" s="23">
        <f>Fællesindtastning!D44*0.8</f>
        <v>1200000</v>
      </c>
      <c r="C12" s="23"/>
    </row>
    <row r="13" spans="1:33" x14ac:dyDescent="0.25">
      <c r="A13" t="str">
        <f>Fællesindtastning!A45</f>
        <v>Investeringsbehov for Infrastruktur2:</v>
      </c>
      <c r="B13" s="23">
        <f>Fællesindtastning!D45*0.8</f>
        <v>6600000</v>
      </c>
      <c r="C13" s="23"/>
    </row>
    <row r="14" spans="1:33" x14ac:dyDescent="0.25">
      <c r="A14" t="str">
        <f>Fællesindtastning!A46</f>
        <v>Investeringsbehov for varmepumper år 0:</v>
      </c>
      <c r="B14" s="23">
        <f>Fællesindtastning!D46*0.8</f>
        <v>6587200</v>
      </c>
      <c r="C14" s="23"/>
    </row>
    <row r="15" spans="1:33" x14ac:dyDescent="0.25">
      <c r="A15" t="str">
        <f>Fællesindtastning!A47</f>
        <v>Investeringsbehov for rådgivning5:</v>
      </c>
      <c r="B15" s="23">
        <f>Fællesindtastning!D47*0.8</f>
        <v>1438720</v>
      </c>
      <c r="C15" s="23"/>
    </row>
    <row r="17" spans="1:33" x14ac:dyDescent="0.25">
      <c r="A17" t="s">
        <v>242</v>
      </c>
      <c r="B17" s="23">
        <f>SUM(B12:B16)-B4-B5</f>
        <v>15279184.961636828</v>
      </c>
      <c r="C17" s="23"/>
    </row>
    <row r="18" spans="1:33" x14ac:dyDescent="0.25">
      <c r="B18" s="23"/>
      <c r="C18" s="23"/>
    </row>
    <row r="19" spans="1:33" x14ac:dyDescent="0.25">
      <c r="A19" t="s">
        <v>249</v>
      </c>
      <c r="B19" s="23">
        <f>Fællesindtastning!D56*15*0.8</f>
        <v>3680000</v>
      </c>
      <c r="C19" s="23"/>
      <c r="R19" s="23">
        <f>B19</f>
        <v>3680000</v>
      </c>
      <c r="AG19" s="23">
        <f>B19</f>
        <v>3680000</v>
      </c>
    </row>
    <row r="21" spans="1:33" x14ac:dyDescent="0.25">
      <c r="A21" t="str">
        <f>Fællesindtastning!A77</f>
        <v>Årlig ydelse pr. år inkl VP i år 0</v>
      </c>
      <c r="C21" s="23">
        <f>SUM(D21:AG21)</f>
        <v>19086385.773010243</v>
      </c>
      <c r="D21" s="23">
        <f>Fællesindtastning!D77*-1*0.8</f>
        <v>636212.85910034121</v>
      </c>
      <c r="E21" s="23">
        <f>D21</f>
        <v>636212.85910034121</v>
      </c>
      <c r="F21" s="23">
        <f t="shared" ref="F21:AG21" si="1">E21</f>
        <v>636212.85910034121</v>
      </c>
      <c r="G21" s="23">
        <f t="shared" si="1"/>
        <v>636212.85910034121</v>
      </c>
      <c r="H21" s="23">
        <f t="shared" si="1"/>
        <v>636212.85910034121</v>
      </c>
      <c r="I21" s="23">
        <f t="shared" si="1"/>
        <v>636212.85910034121</v>
      </c>
      <c r="J21" s="23">
        <f t="shared" si="1"/>
        <v>636212.85910034121</v>
      </c>
      <c r="K21" s="23">
        <f t="shared" si="1"/>
        <v>636212.85910034121</v>
      </c>
      <c r="L21" s="23">
        <f t="shared" si="1"/>
        <v>636212.85910034121</v>
      </c>
      <c r="M21" s="23">
        <f t="shared" si="1"/>
        <v>636212.85910034121</v>
      </c>
      <c r="N21" s="23">
        <f t="shared" si="1"/>
        <v>636212.85910034121</v>
      </c>
      <c r="O21" s="23">
        <f t="shared" si="1"/>
        <v>636212.85910034121</v>
      </c>
      <c r="P21" s="23">
        <f t="shared" si="1"/>
        <v>636212.85910034121</v>
      </c>
      <c r="Q21" s="23">
        <f t="shared" si="1"/>
        <v>636212.85910034121</v>
      </c>
      <c r="R21" s="23">
        <f t="shared" si="1"/>
        <v>636212.85910034121</v>
      </c>
      <c r="S21" s="23">
        <f t="shared" si="1"/>
        <v>636212.85910034121</v>
      </c>
      <c r="T21" s="23">
        <f t="shared" si="1"/>
        <v>636212.85910034121</v>
      </c>
      <c r="U21" s="23">
        <f t="shared" si="1"/>
        <v>636212.85910034121</v>
      </c>
      <c r="V21" s="23">
        <f t="shared" si="1"/>
        <v>636212.85910034121</v>
      </c>
      <c r="W21" s="23">
        <f t="shared" si="1"/>
        <v>636212.85910034121</v>
      </c>
      <c r="X21" s="23">
        <f t="shared" si="1"/>
        <v>636212.85910034121</v>
      </c>
      <c r="Y21" s="23">
        <f t="shared" si="1"/>
        <v>636212.85910034121</v>
      </c>
      <c r="Z21" s="23">
        <f t="shared" si="1"/>
        <v>636212.85910034121</v>
      </c>
      <c r="AA21" s="23">
        <f t="shared" si="1"/>
        <v>636212.85910034121</v>
      </c>
      <c r="AB21" s="23">
        <f t="shared" si="1"/>
        <v>636212.85910034121</v>
      </c>
      <c r="AC21" s="23">
        <f t="shared" si="1"/>
        <v>636212.85910034121</v>
      </c>
      <c r="AD21" s="23">
        <f t="shared" si="1"/>
        <v>636212.85910034121</v>
      </c>
      <c r="AE21" s="23">
        <f t="shared" si="1"/>
        <v>636212.85910034121</v>
      </c>
      <c r="AF21" s="23">
        <f t="shared" si="1"/>
        <v>636212.85910034121</v>
      </c>
      <c r="AG21" s="23">
        <f t="shared" si="1"/>
        <v>636212.85910034121</v>
      </c>
    </row>
    <row r="22" spans="1:33" x14ac:dyDescent="0.25">
      <c r="A22" t="str">
        <f>Fællesindtastning!A59</f>
        <v>Beregnet total omkostning til drift og vedligeholdelse af fællesanlæg + opsparring til VP år 15</v>
      </c>
      <c r="C22" s="23">
        <f>SUM(D22:AG22)</f>
        <v>1607142.8571428573</v>
      </c>
      <c r="D22" s="23">
        <f>(Fællesindtastning!D57+Fællesindtastning!D58)*0.8</f>
        <v>53571.428571428572</v>
      </c>
      <c r="E22" s="23">
        <f>D22</f>
        <v>53571.428571428572</v>
      </c>
      <c r="F22" s="23">
        <f t="shared" ref="F22:AG22" si="2">E22</f>
        <v>53571.428571428572</v>
      </c>
      <c r="G22" s="23">
        <f t="shared" si="2"/>
        <v>53571.428571428572</v>
      </c>
      <c r="H22" s="23">
        <f t="shared" si="2"/>
        <v>53571.428571428572</v>
      </c>
      <c r="I22" s="23">
        <f t="shared" si="2"/>
        <v>53571.428571428572</v>
      </c>
      <c r="J22" s="23">
        <f t="shared" si="2"/>
        <v>53571.428571428572</v>
      </c>
      <c r="K22" s="23">
        <f t="shared" si="2"/>
        <v>53571.428571428572</v>
      </c>
      <c r="L22" s="23">
        <f t="shared" si="2"/>
        <v>53571.428571428572</v>
      </c>
      <c r="M22" s="23">
        <f t="shared" si="2"/>
        <v>53571.428571428572</v>
      </c>
      <c r="N22" s="23">
        <f t="shared" si="2"/>
        <v>53571.428571428572</v>
      </c>
      <c r="O22" s="23">
        <f t="shared" si="2"/>
        <v>53571.428571428572</v>
      </c>
      <c r="P22" s="23">
        <f t="shared" si="2"/>
        <v>53571.428571428572</v>
      </c>
      <c r="Q22" s="23">
        <f t="shared" si="2"/>
        <v>53571.428571428572</v>
      </c>
      <c r="R22" s="23">
        <f t="shared" si="2"/>
        <v>53571.428571428572</v>
      </c>
      <c r="S22" s="23">
        <f t="shared" si="2"/>
        <v>53571.428571428572</v>
      </c>
      <c r="T22" s="23">
        <f t="shared" si="2"/>
        <v>53571.428571428572</v>
      </c>
      <c r="U22" s="23">
        <f t="shared" si="2"/>
        <v>53571.428571428572</v>
      </c>
      <c r="V22" s="23">
        <f t="shared" si="2"/>
        <v>53571.428571428572</v>
      </c>
      <c r="W22" s="23">
        <f t="shared" si="2"/>
        <v>53571.428571428572</v>
      </c>
      <c r="X22" s="23">
        <f t="shared" si="2"/>
        <v>53571.428571428572</v>
      </c>
      <c r="Y22" s="23">
        <f t="shared" si="2"/>
        <v>53571.428571428572</v>
      </c>
      <c r="Z22" s="23">
        <f t="shared" si="2"/>
        <v>53571.428571428572</v>
      </c>
      <c r="AA22" s="23">
        <f t="shared" si="2"/>
        <v>53571.428571428572</v>
      </c>
      <c r="AB22" s="23">
        <f t="shared" si="2"/>
        <v>53571.428571428572</v>
      </c>
      <c r="AC22" s="23">
        <f t="shared" si="2"/>
        <v>53571.428571428572</v>
      </c>
      <c r="AD22" s="23">
        <f t="shared" si="2"/>
        <v>53571.428571428572</v>
      </c>
      <c r="AE22" s="23">
        <f t="shared" si="2"/>
        <v>53571.428571428572</v>
      </c>
      <c r="AF22" s="23">
        <f t="shared" si="2"/>
        <v>53571.428571428572</v>
      </c>
      <c r="AG22" s="23">
        <f t="shared" si="2"/>
        <v>53571.428571428572</v>
      </c>
    </row>
    <row r="24" spans="1:33" x14ac:dyDescent="0.25">
      <c r="A24" t="s">
        <v>244</v>
      </c>
      <c r="C24" s="23">
        <f>SUM(D24:AG24)</f>
        <v>28053528.630153105</v>
      </c>
      <c r="D24" s="23">
        <f>SUM(D19:D23)</f>
        <v>689784.28767176974</v>
      </c>
      <c r="E24" s="23">
        <f t="shared" ref="E24:AG24" si="3">SUM(E19:E23)</f>
        <v>689784.28767176974</v>
      </c>
      <c r="F24" s="23">
        <f t="shared" si="3"/>
        <v>689784.28767176974</v>
      </c>
      <c r="G24" s="23">
        <f t="shared" si="3"/>
        <v>689784.28767176974</v>
      </c>
      <c r="H24" s="23">
        <f t="shared" si="3"/>
        <v>689784.28767176974</v>
      </c>
      <c r="I24" s="23">
        <f t="shared" si="3"/>
        <v>689784.28767176974</v>
      </c>
      <c r="J24" s="23">
        <f t="shared" si="3"/>
        <v>689784.28767176974</v>
      </c>
      <c r="K24" s="23">
        <f t="shared" si="3"/>
        <v>689784.28767176974</v>
      </c>
      <c r="L24" s="23">
        <f t="shared" si="3"/>
        <v>689784.28767176974</v>
      </c>
      <c r="M24" s="23">
        <f t="shared" si="3"/>
        <v>689784.28767176974</v>
      </c>
      <c r="N24" s="23">
        <f t="shared" si="3"/>
        <v>689784.28767176974</v>
      </c>
      <c r="O24" s="23">
        <f t="shared" si="3"/>
        <v>689784.28767176974</v>
      </c>
      <c r="P24" s="23">
        <f t="shared" si="3"/>
        <v>689784.28767176974</v>
      </c>
      <c r="Q24" s="23">
        <f t="shared" si="3"/>
        <v>689784.28767176974</v>
      </c>
      <c r="R24" s="23">
        <f t="shared" si="3"/>
        <v>4369784.287671769</v>
      </c>
      <c r="S24" s="23">
        <f t="shared" si="3"/>
        <v>689784.28767176974</v>
      </c>
      <c r="T24" s="23">
        <f t="shared" si="3"/>
        <v>689784.28767176974</v>
      </c>
      <c r="U24" s="23">
        <f t="shared" si="3"/>
        <v>689784.28767176974</v>
      </c>
      <c r="V24" s="23">
        <f t="shared" si="3"/>
        <v>689784.28767176974</v>
      </c>
      <c r="W24" s="23">
        <f t="shared" si="3"/>
        <v>689784.28767176974</v>
      </c>
      <c r="X24" s="23">
        <f t="shared" si="3"/>
        <v>689784.28767176974</v>
      </c>
      <c r="Y24" s="23">
        <f t="shared" si="3"/>
        <v>689784.28767176974</v>
      </c>
      <c r="Z24" s="23">
        <f t="shared" si="3"/>
        <v>689784.28767176974</v>
      </c>
      <c r="AA24" s="23">
        <f t="shared" si="3"/>
        <v>689784.28767176974</v>
      </c>
      <c r="AB24" s="23">
        <f t="shared" si="3"/>
        <v>689784.28767176974</v>
      </c>
      <c r="AC24" s="23">
        <f t="shared" si="3"/>
        <v>689784.28767176974</v>
      </c>
      <c r="AD24" s="23">
        <f t="shared" si="3"/>
        <v>689784.28767176974</v>
      </c>
      <c r="AE24" s="23">
        <f t="shared" si="3"/>
        <v>689784.28767176974</v>
      </c>
      <c r="AF24" s="23">
        <f t="shared" si="3"/>
        <v>689784.28767176974</v>
      </c>
      <c r="AG24" s="23">
        <f t="shared" si="3"/>
        <v>4369784.287671769</v>
      </c>
    </row>
    <row r="26" spans="1:33" x14ac:dyDescent="0.25">
      <c r="A26" t="s">
        <v>245</v>
      </c>
      <c r="C26" s="23">
        <f>SUM(D26:AG26)</f>
        <v>5.5879354476928711E-9</v>
      </c>
      <c r="D26" s="23">
        <f>D6-D24</f>
        <v>245333.33333333349</v>
      </c>
      <c r="E26" s="23">
        <f t="shared" ref="E26:AG26" si="4">E6-E24</f>
        <v>245333.33333333349</v>
      </c>
      <c r="F26" s="23">
        <f t="shared" si="4"/>
        <v>245333.33333333349</v>
      </c>
      <c r="G26" s="23">
        <f t="shared" si="4"/>
        <v>245333.33333333349</v>
      </c>
      <c r="H26" s="23">
        <f t="shared" si="4"/>
        <v>245333.33333333349</v>
      </c>
      <c r="I26" s="23">
        <f t="shared" si="4"/>
        <v>245333.33333333349</v>
      </c>
      <c r="J26" s="23">
        <f t="shared" si="4"/>
        <v>245333.33333333349</v>
      </c>
      <c r="K26" s="23">
        <f t="shared" si="4"/>
        <v>245333.33333333349</v>
      </c>
      <c r="L26" s="23">
        <f t="shared" si="4"/>
        <v>245333.33333333349</v>
      </c>
      <c r="M26" s="23">
        <f t="shared" si="4"/>
        <v>245333.33333333349</v>
      </c>
      <c r="N26" s="23">
        <f t="shared" si="4"/>
        <v>245333.33333333349</v>
      </c>
      <c r="O26" s="23">
        <f t="shared" si="4"/>
        <v>245333.33333333349</v>
      </c>
      <c r="P26" s="23">
        <f t="shared" si="4"/>
        <v>245333.33333333349</v>
      </c>
      <c r="Q26" s="23">
        <f t="shared" si="4"/>
        <v>245333.33333333349</v>
      </c>
      <c r="R26" s="23">
        <f t="shared" si="4"/>
        <v>-3434666.666666666</v>
      </c>
      <c r="S26" s="23">
        <f t="shared" si="4"/>
        <v>245333.33333333349</v>
      </c>
      <c r="T26" s="23">
        <f t="shared" si="4"/>
        <v>245333.33333333349</v>
      </c>
      <c r="U26" s="23">
        <f t="shared" si="4"/>
        <v>245333.33333333349</v>
      </c>
      <c r="V26" s="23">
        <f t="shared" si="4"/>
        <v>245333.33333333349</v>
      </c>
      <c r="W26" s="23">
        <f t="shared" si="4"/>
        <v>245333.33333333349</v>
      </c>
      <c r="X26" s="23">
        <f t="shared" si="4"/>
        <v>245333.33333333349</v>
      </c>
      <c r="Y26" s="23">
        <f t="shared" si="4"/>
        <v>245333.33333333349</v>
      </c>
      <c r="Z26" s="23">
        <f t="shared" si="4"/>
        <v>245333.33333333349</v>
      </c>
      <c r="AA26" s="23">
        <f t="shared" si="4"/>
        <v>245333.33333333349</v>
      </c>
      <c r="AB26" s="23">
        <f t="shared" si="4"/>
        <v>245333.33333333349</v>
      </c>
      <c r="AC26" s="23">
        <f t="shared" si="4"/>
        <v>245333.33333333349</v>
      </c>
      <c r="AD26" s="23">
        <f t="shared" si="4"/>
        <v>245333.33333333349</v>
      </c>
      <c r="AE26" s="23">
        <f t="shared" si="4"/>
        <v>245333.33333333349</v>
      </c>
      <c r="AF26" s="23">
        <f t="shared" si="4"/>
        <v>245333.33333333349</v>
      </c>
      <c r="AG26" s="23">
        <f t="shared" si="4"/>
        <v>-3434666.666666666</v>
      </c>
    </row>
    <row r="27" spans="1:33" x14ac:dyDescent="0.25">
      <c r="A27" t="s">
        <v>248</v>
      </c>
      <c r="D27" s="23">
        <f>D26</f>
        <v>245333.33333333349</v>
      </c>
      <c r="E27" s="23">
        <f>D27+E26</f>
        <v>490666.66666666698</v>
      </c>
      <c r="F27" s="23">
        <f t="shared" ref="F27:AG27" si="5">E27+F26</f>
        <v>736000.00000000047</v>
      </c>
      <c r="G27" s="23">
        <f t="shared" si="5"/>
        <v>981333.33333333395</v>
      </c>
      <c r="H27" s="23">
        <f t="shared" si="5"/>
        <v>1226666.6666666674</v>
      </c>
      <c r="I27" s="23">
        <f t="shared" si="5"/>
        <v>1472000.0000000009</v>
      </c>
      <c r="J27" s="23">
        <f t="shared" si="5"/>
        <v>1717333.3333333344</v>
      </c>
      <c r="K27" s="23">
        <f t="shared" si="5"/>
        <v>1962666.6666666679</v>
      </c>
      <c r="L27" s="23">
        <f t="shared" si="5"/>
        <v>2208000.0000000014</v>
      </c>
      <c r="M27" s="23">
        <f t="shared" si="5"/>
        <v>2453333.3333333349</v>
      </c>
      <c r="N27" s="23">
        <f t="shared" si="5"/>
        <v>2698666.6666666684</v>
      </c>
      <c r="O27" s="23">
        <f t="shared" si="5"/>
        <v>2944000.0000000019</v>
      </c>
      <c r="P27" s="23">
        <f t="shared" si="5"/>
        <v>3189333.3333333354</v>
      </c>
      <c r="Q27" s="23">
        <f t="shared" si="5"/>
        <v>3434666.6666666688</v>
      </c>
      <c r="R27" s="23">
        <f t="shared" si="5"/>
        <v>0</v>
      </c>
      <c r="S27" s="23">
        <f t="shared" si="5"/>
        <v>245333.33333333349</v>
      </c>
      <c r="T27" s="23">
        <f t="shared" si="5"/>
        <v>490666.66666666698</v>
      </c>
      <c r="U27" s="23">
        <f t="shared" si="5"/>
        <v>736000.00000000047</v>
      </c>
      <c r="V27" s="23">
        <f t="shared" si="5"/>
        <v>981333.33333333395</v>
      </c>
      <c r="W27" s="23">
        <f t="shared" si="5"/>
        <v>1226666.6666666674</v>
      </c>
      <c r="X27" s="23">
        <f t="shared" si="5"/>
        <v>1472000.0000000009</v>
      </c>
      <c r="Y27" s="23">
        <f t="shared" si="5"/>
        <v>1717333.3333333344</v>
      </c>
      <c r="Z27" s="23">
        <f t="shared" si="5"/>
        <v>1962666.6666666679</v>
      </c>
      <c r="AA27" s="23">
        <f t="shared" si="5"/>
        <v>2208000.0000000014</v>
      </c>
      <c r="AB27" s="23">
        <f t="shared" si="5"/>
        <v>2453333.3333333349</v>
      </c>
      <c r="AC27" s="23">
        <f t="shared" si="5"/>
        <v>2698666.6666666684</v>
      </c>
      <c r="AD27" s="23">
        <f t="shared" si="5"/>
        <v>2944000.0000000019</v>
      </c>
      <c r="AE27" s="23">
        <f t="shared" si="5"/>
        <v>3189333.3333333354</v>
      </c>
      <c r="AF27" s="23">
        <f t="shared" si="5"/>
        <v>3434666.6666666688</v>
      </c>
      <c r="AG27" s="23">
        <f t="shared" si="5"/>
        <v>0</v>
      </c>
    </row>
  </sheetData>
  <sheetProtection algorithmName="SHA-512" hashValue="lXUPg6cT4K9qSZwf2lzJC69UBqmo65PFxUCigG+LutzU8fjMeDo/2hHOdBn5K4mLz/ateQCQV22j0KJnTNB1eA==" saltValue="2oRQmVaPXNWmJACYGSZl+w=="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91C75-6559-43E3-80ED-7E79921B84A5}">
  <dimension ref="A1:J7"/>
  <sheetViews>
    <sheetView workbookViewId="0">
      <selection activeCell="L16" sqref="L16"/>
    </sheetView>
  </sheetViews>
  <sheetFormatPr defaultRowHeight="15" x14ac:dyDescent="0.25"/>
  <cols>
    <col min="2" max="2" width="13.140625" customWidth="1"/>
    <col min="3" max="3" width="13.5703125" customWidth="1"/>
    <col min="4" max="4" width="15.5703125" bestFit="1" customWidth="1"/>
    <col min="5" max="5" width="13.28515625" customWidth="1"/>
    <col min="6" max="6" width="15.5703125" bestFit="1" customWidth="1"/>
    <col min="7" max="7" width="13.7109375" customWidth="1"/>
    <col min="8" max="8" width="15.5703125" bestFit="1" customWidth="1"/>
    <col min="10" max="10" width="17" customWidth="1"/>
  </cols>
  <sheetData>
    <row r="1" spans="1:10" ht="14.45" customHeight="1" x14ac:dyDescent="0.25">
      <c r="B1" s="132" t="s">
        <v>254</v>
      </c>
      <c r="C1" s="9"/>
    </row>
    <row r="2" spans="1:10" ht="14.45" customHeight="1" x14ac:dyDescent="0.25">
      <c r="C2" t="s">
        <v>250</v>
      </c>
      <c r="D2" t="s">
        <v>250</v>
      </c>
      <c r="E2" t="s">
        <v>252</v>
      </c>
      <c r="F2" t="s">
        <v>252</v>
      </c>
      <c r="G2" t="s">
        <v>253</v>
      </c>
      <c r="H2" t="s">
        <v>253</v>
      </c>
      <c r="I2" s="41" t="s">
        <v>258</v>
      </c>
    </row>
    <row r="3" spans="1:10" x14ac:dyDescent="0.25">
      <c r="C3" t="s">
        <v>251</v>
      </c>
      <c r="D3" t="s">
        <v>257</v>
      </c>
      <c r="E3" t="s">
        <v>251</v>
      </c>
      <c r="F3" t="s">
        <v>257</v>
      </c>
      <c r="G3" t="s">
        <v>251</v>
      </c>
      <c r="H3" t="s">
        <v>257</v>
      </c>
      <c r="I3" s="83" t="s">
        <v>255</v>
      </c>
    </row>
    <row r="4" spans="1:10" x14ac:dyDescent="0.25">
      <c r="B4" t="s">
        <v>86</v>
      </c>
      <c r="C4" t="s">
        <v>195</v>
      </c>
      <c r="D4" t="s">
        <v>143</v>
      </c>
      <c r="E4" t="s">
        <v>195</v>
      </c>
      <c r="F4" t="s">
        <v>143</v>
      </c>
      <c r="G4" t="s">
        <v>195</v>
      </c>
      <c r="H4" t="s">
        <v>143</v>
      </c>
      <c r="I4" s="41" t="s">
        <v>117</v>
      </c>
      <c r="J4" t="s">
        <v>117</v>
      </c>
    </row>
    <row r="5" spans="1:10" x14ac:dyDescent="0.25">
      <c r="A5" s="17"/>
      <c r="B5" t="str">
        <f>"Max + "&amp;J5&amp;" %"</f>
        <v>Max + 20 %</v>
      </c>
      <c r="C5" s="100">
        <f t="shared" ref="C5:H5" si="0">C6*(1+$J$5/100)</f>
        <v>198000</v>
      </c>
      <c r="D5" s="100">
        <f t="shared" si="0"/>
        <v>22800</v>
      </c>
      <c r="E5" s="100">
        <f t="shared" si="0"/>
        <v>246000</v>
      </c>
      <c r="F5" s="100">
        <f t="shared" si="0"/>
        <v>24600</v>
      </c>
      <c r="G5" s="100">
        <f t="shared" si="0"/>
        <v>312000</v>
      </c>
      <c r="H5" s="100">
        <f t="shared" si="0"/>
        <v>27840</v>
      </c>
      <c r="I5" s="133">
        <v>0.5</v>
      </c>
      <c r="J5" s="9">
        <v>20</v>
      </c>
    </row>
    <row r="6" spans="1:10" x14ac:dyDescent="0.25">
      <c r="A6" s="46"/>
      <c r="B6" t="s">
        <v>256</v>
      </c>
      <c r="C6" s="131">
        <v>165000</v>
      </c>
      <c r="D6" s="131">
        <v>19000</v>
      </c>
      <c r="E6" s="131">
        <v>205000</v>
      </c>
      <c r="F6" s="131">
        <v>20500</v>
      </c>
      <c r="G6" s="131">
        <v>260000</v>
      </c>
      <c r="H6" s="131">
        <v>23200</v>
      </c>
      <c r="I6" s="133">
        <v>0.75</v>
      </c>
      <c r="J6" s="17">
        <v>0</v>
      </c>
    </row>
    <row r="7" spans="1:10" x14ac:dyDescent="0.25">
      <c r="A7" s="17"/>
      <c r="B7" t="str">
        <f>"Min "&amp;J7&amp;" %"</f>
        <v>Min -20 %</v>
      </c>
      <c r="C7" s="100">
        <f t="shared" ref="C7:H7" si="1">C6*(1+$J$7/100)</f>
        <v>132000</v>
      </c>
      <c r="D7" s="100">
        <f t="shared" si="1"/>
        <v>15200</v>
      </c>
      <c r="E7" s="100">
        <f t="shared" si="1"/>
        <v>164000</v>
      </c>
      <c r="F7" s="100">
        <f t="shared" si="1"/>
        <v>16400</v>
      </c>
      <c r="G7" s="100">
        <f t="shared" si="1"/>
        <v>208000</v>
      </c>
      <c r="H7" s="100">
        <f t="shared" si="1"/>
        <v>18560</v>
      </c>
      <c r="I7" s="133">
        <v>1</v>
      </c>
      <c r="J7" s="9">
        <v>-20</v>
      </c>
    </row>
  </sheetData>
  <sheetProtection algorithmName="SHA-512" hashValue="sqSqeMrnk9KncdURtqK958wAvLUcACqbjoo1paO4MIKW2eMQtOwax7FgYj08ntz7Yr9KESzz4bmfCrlAM/DnGw==" saltValue="Lc5WaUBQVRsd/BJx9rrSvA==" spinCount="100000" sheet="1" objects="1" scenarios="1"/>
  <protectedRanges>
    <protectedRange sqref="I7:J7" name="Område3"/>
    <protectedRange sqref="I5:J5" name="Område2"/>
    <protectedRange sqref="C6:I6" name="Område1"/>
  </protectedRanges>
  <dataValidations xWindow="785" yWindow="405" count="4">
    <dataValidation allowBlank="1" showInputMessage="1" showErrorMessage="1" promptTitle="middelværdi" prompt="Kommer fra forskellige senarier indtastet i &quot;fællesindtastning&quot; og værdier fra &quot;Privatøkonomi&quot;" sqref="C6:H6" xr:uid="{A89E2570-8341-477E-BF2D-7B76B058783D}"/>
    <dataValidation allowBlank="1" showInputMessage="1" showErrorMessage="1" promptTitle="Følsomhed" prompt="Indtast den følsomhedsprocent som I ænsker at bruge på både projektprisen og årlig omkring i forhold til middelværdi." sqref="J6" xr:uid="{3B1549D0-F1D5-4AD4-98E2-3398AA152EF4}"/>
    <dataValidation type="whole" allowBlank="1" showInputMessage="1" showErrorMessage="1" promptTitle="Følsomhed" prompt="Indtast den følsomhedsprocent som I ænsker at bruge på både projektprisen og årlig omkring i forhold til middelværdi. indtast værdi mellem 0 til -100_x000a_" sqref="J7" xr:uid="{66126F19-0584-4A81-9BEC-E6AF5245BA38}">
      <formula1>-100</formula1>
      <formula2>0</formula2>
    </dataValidation>
    <dataValidation type="whole" allowBlank="1" showInputMessage="1" showErrorMessage="1" promptTitle="Følsomhed" prompt="Indtast den følsomhedsprocent som I ænsker at bruge på både projektprisen og årlig omkring i forhold til middelværdi. intast værdi mellem 0 til 100" sqref="J5" xr:uid="{A5621F98-D308-4D35-9587-B6DCF998E591}">
      <formula1>0</formula1>
      <formula2>100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Retningslinjer</vt:lpstr>
      <vt:lpstr>Fællesindtastning</vt:lpstr>
      <vt:lpstr>Privatøkonomi</vt:lpstr>
      <vt:lpstr>Samfundsøkonomi</vt:lpstr>
      <vt:lpstr>Selskabsøkonomi</vt:lpstr>
      <vt:lpstr>Følsomhedsanalyse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Magnus Løvendal Petersen</dc:creator>
  <cp:lastModifiedBy>Martin Vesterbæk</cp:lastModifiedBy>
  <dcterms:created xsi:type="dcterms:W3CDTF">2019-05-15T13:59:02Z</dcterms:created>
  <dcterms:modified xsi:type="dcterms:W3CDTF">2019-07-05T11:30:07Z</dcterms:modified>
</cp:coreProperties>
</file>